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C:\Users\Chaun\Documents\"/>
    </mc:Choice>
  </mc:AlternateContent>
  <bookViews>
    <workbookView xWindow="0" yWindow="0" windowWidth="20496" windowHeight="7428" activeTab="1"/>
  </bookViews>
  <sheets>
    <sheet name="2015" sheetId="2" r:id="rId1"/>
    <sheet name="2016" sheetId="3" r:id="rId2"/>
  </sheets>
  <definedNames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'2015'!$AC$2</definedName>
    <definedName name="FYStartYear">'2015'!$AD$2</definedName>
    <definedName name="_xlnm.Print_Titles" localSheetId="0">'2015'!$4:$4</definedName>
  </definedNames>
  <calcPr calcId="171027"/>
</workbook>
</file>

<file path=xl/calcChain.xml><?xml version="1.0" encoding="utf-8"?>
<calcChain xmlns="http://schemas.openxmlformats.org/spreadsheetml/2006/main">
  <c r="P22" i="2" l="1"/>
  <c r="P22" i="3"/>
  <c r="D4" i="3" l="1"/>
  <c r="R4" i="3" s="1"/>
  <c r="E4" i="3"/>
  <c r="F4" i="3"/>
  <c r="T4" i="3" s="1"/>
  <c r="G4" i="3"/>
  <c r="U4" i="3" s="1"/>
  <c r="H4" i="3"/>
  <c r="V4" i="3" s="1"/>
  <c r="I4" i="3"/>
  <c r="J4" i="3"/>
  <c r="X4" i="3" s="1"/>
  <c r="K4" i="3"/>
  <c r="Y4" i="3" s="1"/>
  <c r="L4" i="3"/>
  <c r="Z4" i="3" s="1"/>
  <c r="M4" i="3"/>
  <c r="N4" i="3"/>
  <c r="AB4" i="3" s="1"/>
  <c r="O4" i="3"/>
  <c r="AC4" i="3" s="1"/>
  <c r="Q25" i="3"/>
  <c r="O25" i="3"/>
  <c r="N25" i="3"/>
  <c r="M25" i="3"/>
  <c r="AA22" i="3" s="1"/>
  <c r="L25" i="3"/>
  <c r="K25" i="3"/>
  <c r="J25" i="3"/>
  <c r="I25" i="3"/>
  <c r="H25" i="3"/>
  <c r="G25" i="3"/>
  <c r="F25" i="3"/>
  <c r="E25" i="3"/>
  <c r="D25" i="3"/>
  <c r="R23" i="3" s="1"/>
  <c r="P24" i="3"/>
  <c r="P23" i="3"/>
  <c r="P21" i="3"/>
  <c r="Q16" i="3"/>
  <c r="O16" i="3"/>
  <c r="AC14" i="3" s="1"/>
  <c r="N16" i="3"/>
  <c r="AB15" i="3" s="1"/>
  <c r="M16" i="3"/>
  <c r="AA14" i="3" s="1"/>
  <c r="L16" i="3"/>
  <c r="Z15" i="3" s="1"/>
  <c r="K16" i="3"/>
  <c r="Y15" i="3" s="1"/>
  <c r="J16" i="3"/>
  <c r="X14" i="3" s="1"/>
  <c r="I16" i="3"/>
  <c r="W14" i="3" s="1"/>
  <c r="H16" i="3"/>
  <c r="V14" i="3" s="1"/>
  <c r="G16" i="3"/>
  <c r="U14" i="3" s="1"/>
  <c r="F16" i="3"/>
  <c r="T14" i="3" s="1"/>
  <c r="E16" i="3"/>
  <c r="S14" i="3" s="1"/>
  <c r="D16" i="3"/>
  <c r="R14" i="3" s="1"/>
  <c r="P15" i="3"/>
  <c r="P14" i="3"/>
  <c r="Q11" i="3"/>
  <c r="O11" i="3"/>
  <c r="AC8" i="3" s="1"/>
  <c r="N11" i="3"/>
  <c r="AB9" i="3" s="1"/>
  <c r="M11" i="3"/>
  <c r="AA8" i="3" s="1"/>
  <c r="L11" i="3"/>
  <c r="Z8" i="3" s="1"/>
  <c r="K11" i="3"/>
  <c r="Y9" i="3" s="1"/>
  <c r="J11" i="3"/>
  <c r="X9" i="3" s="1"/>
  <c r="I11" i="3"/>
  <c r="H11" i="3"/>
  <c r="V9" i="3" s="1"/>
  <c r="G11" i="3"/>
  <c r="U8" i="3" s="1"/>
  <c r="F11" i="3"/>
  <c r="T9" i="3" s="1"/>
  <c r="E11" i="3"/>
  <c r="S7" i="3" s="1"/>
  <c r="D11" i="3"/>
  <c r="P10" i="3"/>
  <c r="P9" i="3"/>
  <c r="P8" i="3"/>
  <c r="P7" i="3"/>
  <c r="AA4" i="3"/>
  <c r="W4" i="3"/>
  <c r="S4" i="3"/>
  <c r="P24" i="2"/>
  <c r="AB14" i="3" l="1"/>
  <c r="AB7" i="3"/>
  <c r="AA15" i="3"/>
  <c r="AA9" i="3"/>
  <c r="AA7" i="3"/>
  <c r="AA21" i="3"/>
  <c r="AC24" i="3"/>
  <c r="AC22" i="3"/>
  <c r="S23" i="3"/>
  <c r="S22" i="3"/>
  <c r="AA23" i="3"/>
  <c r="AA24" i="3"/>
  <c r="AA25" i="3" s="1"/>
  <c r="Y21" i="3"/>
  <c r="Y22" i="3"/>
  <c r="R21" i="3"/>
  <c r="R24" i="3"/>
  <c r="R22" i="3"/>
  <c r="U23" i="3"/>
  <c r="U22" i="3"/>
  <c r="T21" i="3"/>
  <c r="T22" i="3"/>
  <c r="AB21" i="3"/>
  <c r="AB22" i="3"/>
  <c r="V21" i="3"/>
  <c r="V22" i="3"/>
  <c r="W21" i="3"/>
  <c r="W22" i="3"/>
  <c r="X23" i="3"/>
  <c r="X22" i="3"/>
  <c r="Z21" i="3"/>
  <c r="Z22" i="3"/>
  <c r="Z23" i="3"/>
  <c r="Z24" i="3"/>
  <c r="Z14" i="3"/>
  <c r="Z9" i="3"/>
  <c r="Z7" i="3"/>
  <c r="Z11" i="3" s="1"/>
  <c r="Z10" i="3"/>
  <c r="Y23" i="3"/>
  <c r="Y24" i="3"/>
  <c r="Y14" i="3"/>
  <c r="Y16" i="3" s="1"/>
  <c r="Y10" i="3"/>
  <c r="Y8" i="3"/>
  <c r="Y7" i="3"/>
  <c r="X7" i="3"/>
  <c r="I18" i="3"/>
  <c r="W7" i="3"/>
  <c r="W11" i="3" s="1"/>
  <c r="W9" i="3"/>
  <c r="W10" i="3"/>
  <c r="W8" i="3"/>
  <c r="AB24" i="3"/>
  <c r="AC7" i="3"/>
  <c r="T15" i="3"/>
  <c r="T16" i="3"/>
  <c r="AA11" i="3"/>
  <c r="T7" i="3"/>
  <c r="J18" i="3"/>
  <c r="J27" i="3" s="1"/>
  <c r="X15" i="3"/>
  <c r="X16" i="3" s="1"/>
  <c r="Y11" i="3"/>
  <c r="X8" i="3"/>
  <c r="AA10" i="3"/>
  <c r="K18" i="3"/>
  <c r="K27" i="3" s="1"/>
  <c r="L18" i="3"/>
  <c r="L27" i="3" s="1"/>
  <c r="AB8" i="3"/>
  <c r="AB16" i="3"/>
  <c r="M18" i="3"/>
  <c r="M27" i="3" s="1"/>
  <c r="U7" i="3"/>
  <c r="X10" i="3"/>
  <c r="X11" i="3" s="1"/>
  <c r="AA16" i="3"/>
  <c r="N18" i="3"/>
  <c r="N27" i="3" s="1"/>
  <c r="Z16" i="3"/>
  <c r="F18" i="3"/>
  <c r="F27" i="3" s="1"/>
  <c r="T8" i="3"/>
  <c r="S24" i="3"/>
  <c r="S21" i="3"/>
  <c r="S15" i="3"/>
  <c r="S16" i="3" s="1"/>
  <c r="S8" i="3"/>
  <c r="S10" i="3"/>
  <c r="S9" i="3"/>
  <c r="E18" i="3"/>
  <c r="E27" i="3" s="1"/>
  <c r="R25" i="3"/>
  <c r="P25" i="3"/>
  <c r="U24" i="3"/>
  <c r="AC21" i="3"/>
  <c r="AC25" i="3" s="1"/>
  <c r="AC23" i="3"/>
  <c r="U21" i="3"/>
  <c r="T24" i="3"/>
  <c r="R15" i="3"/>
  <c r="R16" i="3" s="1"/>
  <c r="D18" i="3"/>
  <c r="D27" i="3" s="1"/>
  <c r="R8" i="3"/>
  <c r="R9" i="3"/>
  <c r="R10" i="3"/>
  <c r="R7" i="3"/>
  <c r="I27" i="3"/>
  <c r="V8" i="3"/>
  <c r="P16" i="3"/>
  <c r="AD14" i="3" s="1"/>
  <c r="X21" i="3"/>
  <c r="V7" i="3"/>
  <c r="T10" i="3"/>
  <c r="AB10" i="3"/>
  <c r="U15" i="3"/>
  <c r="U16" i="3" s="1"/>
  <c r="AC15" i="3"/>
  <c r="AC16" i="3" s="1"/>
  <c r="G18" i="3"/>
  <c r="O18" i="3"/>
  <c r="T23" i="3"/>
  <c r="AB23" i="3"/>
  <c r="V24" i="3"/>
  <c r="P11" i="3"/>
  <c r="AD10" i="3" s="1"/>
  <c r="U10" i="3"/>
  <c r="AC10" i="3"/>
  <c r="V15" i="3"/>
  <c r="V16" i="3" s="1"/>
  <c r="H18" i="3"/>
  <c r="W24" i="3"/>
  <c r="V10" i="3"/>
  <c r="W15" i="3"/>
  <c r="W16" i="3" s="1"/>
  <c r="V23" i="3"/>
  <c r="X24" i="3"/>
  <c r="U9" i="3"/>
  <c r="U11" i="3" s="1"/>
  <c r="AC9" i="3"/>
  <c r="AC11" i="3" s="1"/>
  <c r="W23" i="3"/>
  <c r="O4" i="2"/>
  <c r="AC4" i="2" s="1"/>
  <c r="N4" i="2"/>
  <c r="AB4" i="2" s="1"/>
  <c r="M4" i="2"/>
  <c r="AA4" i="2" s="1"/>
  <c r="L4" i="2"/>
  <c r="Z4" i="2" s="1"/>
  <c r="K4" i="2"/>
  <c r="Y4" i="2" s="1"/>
  <c r="J4" i="2"/>
  <c r="X4" i="2" s="1"/>
  <c r="I4" i="2"/>
  <c r="W4" i="2" s="1"/>
  <c r="H4" i="2"/>
  <c r="V4" i="2" s="1"/>
  <c r="G4" i="2"/>
  <c r="U4" i="2" s="1"/>
  <c r="F4" i="2"/>
  <c r="T4" i="2" s="1"/>
  <c r="E4" i="2"/>
  <c r="S4" i="2" s="1"/>
  <c r="D4" i="2"/>
  <c r="R4" i="2" s="1"/>
  <c r="AB25" i="3" l="1"/>
  <c r="T25" i="3"/>
  <c r="Y25" i="3"/>
  <c r="Z25" i="3"/>
  <c r="AD24" i="3"/>
  <c r="AD22" i="3"/>
  <c r="T11" i="3"/>
  <c r="AB11" i="3"/>
  <c r="S25" i="3"/>
  <c r="AD15" i="3"/>
  <c r="AD16" i="3" s="1"/>
  <c r="S11" i="3"/>
  <c r="AD23" i="3"/>
  <c r="AD21" i="3"/>
  <c r="V25" i="3"/>
  <c r="W25" i="3"/>
  <c r="U25" i="3"/>
  <c r="R11" i="3"/>
  <c r="P18" i="3"/>
  <c r="AC18" i="3" s="1"/>
  <c r="AD8" i="3"/>
  <c r="AD7" i="3"/>
  <c r="V11" i="3"/>
  <c r="H27" i="3"/>
  <c r="O27" i="3"/>
  <c r="AD9" i="3"/>
  <c r="G27" i="3"/>
  <c r="X25" i="3"/>
  <c r="Q25" i="2"/>
  <c r="Q16" i="2"/>
  <c r="AD25" i="3" l="1"/>
  <c r="P27" i="3"/>
  <c r="AB27" i="3" s="1"/>
  <c r="AD11" i="3"/>
  <c r="AA27" i="3"/>
  <c r="R27" i="3"/>
  <c r="Y27" i="3"/>
  <c r="W27" i="3"/>
  <c r="T27" i="3"/>
  <c r="AD18" i="3"/>
  <c r="Z18" i="3"/>
  <c r="Y18" i="3"/>
  <c r="W18" i="3"/>
  <c r="AB18" i="3"/>
  <c r="S18" i="3"/>
  <c r="R18" i="3"/>
  <c r="AA18" i="3"/>
  <c r="X18" i="3"/>
  <c r="T18" i="3"/>
  <c r="U18" i="3"/>
  <c r="AC27" i="3"/>
  <c r="V27" i="3"/>
  <c r="U27" i="3"/>
  <c r="V18" i="3"/>
  <c r="O25" i="2"/>
  <c r="AC22" i="2" s="1"/>
  <c r="G25" i="2"/>
  <c r="U22" i="2" s="1"/>
  <c r="P23" i="2"/>
  <c r="K25" i="2"/>
  <c r="Y22" i="2" s="1"/>
  <c r="P21" i="2"/>
  <c r="M25" i="2"/>
  <c r="AA22" i="2" s="1"/>
  <c r="I25" i="2"/>
  <c r="W22" i="2" s="1"/>
  <c r="E25" i="2"/>
  <c r="S22" i="2" s="1"/>
  <c r="L25" i="2"/>
  <c r="Z22" i="2" s="1"/>
  <c r="H25" i="2"/>
  <c r="V22" i="2" s="1"/>
  <c r="N25" i="2"/>
  <c r="AB22" i="2" s="1"/>
  <c r="J25" i="2"/>
  <c r="X22" i="2" s="1"/>
  <c r="F25" i="2"/>
  <c r="T22" i="2" s="1"/>
  <c r="D25" i="2"/>
  <c r="R22" i="2" s="1"/>
  <c r="O16" i="2"/>
  <c r="N16" i="2"/>
  <c r="D16" i="2"/>
  <c r="J16" i="2"/>
  <c r="F16" i="2"/>
  <c r="M16" i="2"/>
  <c r="I16" i="2"/>
  <c r="E16" i="2"/>
  <c r="L16" i="2"/>
  <c r="H16" i="2"/>
  <c r="K16" i="2"/>
  <c r="G16" i="2"/>
  <c r="P14" i="2"/>
  <c r="P15" i="2"/>
  <c r="X27" i="3" l="1"/>
  <c r="S27" i="3"/>
  <c r="AD27" i="3"/>
  <c r="Z27" i="3"/>
  <c r="W24" i="2"/>
  <c r="R24" i="2"/>
  <c r="AA24" i="2"/>
  <c r="T24" i="2"/>
  <c r="X24" i="2"/>
  <c r="Y24" i="2"/>
  <c r="AB24" i="2"/>
  <c r="S24" i="2"/>
  <c r="V24" i="2"/>
  <c r="U24" i="2"/>
  <c r="Z24" i="2"/>
  <c r="AC24" i="2"/>
  <c r="U15" i="2"/>
  <c r="W23" i="2"/>
  <c r="AB23" i="2"/>
  <c r="W21" i="2"/>
  <c r="AC23" i="2"/>
  <c r="S21" i="2"/>
  <c r="Y23" i="2"/>
  <c r="AC21" i="2"/>
  <c r="S23" i="2"/>
  <c r="X23" i="2"/>
  <c r="V21" i="2"/>
  <c r="T21" i="2"/>
  <c r="Z21" i="2"/>
  <c r="V23" i="2"/>
  <c r="X21" i="2"/>
  <c r="U21" i="2"/>
  <c r="Z23" i="2"/>
  <c r="AA21" i="2"/>
  <c r="AB21" i="2"/>
  <c r="U23" i="2"/>
  <c r="Y21" i="2"/>
  <c r="AA23" i="2"/>
  <c r="T23" i="2"/>
  <c r="R21" i="2"/>
  <c r="R23" i="2"/>
  <c r="P25" i="2"/>
  <c r="AD22" i="2" s="1"/>
  <c r="R14" i="2"/>
  <c r="AB14" i="2"/>
  <c r="T14" i="2"/>
  <c r="Y14" i="2"/>
  <c r="S15" i="2"/>
  <c r="S14" i="2"/>
  <c r="X15" i="2"/>
  <c r="Y15" i="2"/>
  <c r="R15" i="2"/>
  <c r="AC14" i="2"/>
  <c r="W15" i="2"/>
  <c r="W14" i="2"/>
  <c r="AB15" i="2"/>
  <c r="X14" i="2"/>
  <c r="AC15" i="2"/>
  <c r="V15" i="2"/>
  <c r="V14" i="2"/>
  <c r="AA15" i="2"/>
  <c r="AA14" i="2"/>
  <c r="U14" i="2"/>
  <c r="Z15" i="2"/>
  <c r="Z14" i="2"/>
  <c r="T15" i="2"/>
  <c r="P16" i="2"/>
  <c r="AD24" i="2" l="1"/>
  <c r="AD23" i="2"/>
  <c r="S25" i="2"/>
  <c r="AB25" i="2"/>
  <c r="AC25" i="2"/>
  <c r="W25" i="2"/>
  <c r="AD21" i="2"/>
  <c r="U25" i="2"/>
  <c r="Z25" i="2"/>
  <c r="Y25" i="2"/>
  <c r="X25" i="2"/>
  <c r="AA25" i="2"/>
  <c r="T25" i="2"/>
  <c r="V25" i="2"/>
  <c r="R25" i="2"/>
  <c r="T16" i="2"/>
  <c r="W16" i="2"/>
  <c r="Z16" i="2"/>
  <c r="AD15" i="2"/>
  <c r="V16" i="2"/>
  <c r="AD14" i="2"/>
  <c r="AB16" i="2"/>
  <c r="R16" i="2"/>
  <c r="AC16" i="2"/>
  <c r="U16" i="2"/>
  <c r="X16" i="2"/>
  <c r="S16" i="2"/>
  <c r="AA16" i="2"/>
  <c r="Y16" i="2"/>
  <c r="F11" i="2"/>
  <c r="J11" i="2"/>
  <c r="N11" i="2"/>
  <c r="P7" i="2"/>
  <c r="P8" i="2"/>
  <c r="P9" i="2"/>
  <c r="P10" i="2"/>
  <c r="H11" i="2"/>
  <c r="L11" i="2"/>
  <c r="Q11" i="2"/>
  <c r="D11" i="2"/>
  <c r="AD16" i="2" l="1"/>
  <c r="AD25" i="2"/>
  <c r="Z9" i="2"/>
  <c r="L18" i="2"/>
  <c r="L27" i="2" s="1"/>
  <c r="V9" i="2"/>
  <c r="H18" i="2"/>
  <c r="H27" i="2" s="1"/>
  <c r="AB7" i="2"/>
  <c r="N18" i="2"/>
  <c r="N27" i="2" s="1"/>
  <c r="R7" i="2"/>
  <c r="D18" i="2"/>
  <c r="D27" i="2" s="1"/>
  <c r="X7" i="2"/>
  <c r="J18" i="2"/>
  <c r="J27" i="2" s="1"/>
  <c r="T7" i="2"/>
  <c r="F18" i="2"/>
  <c r="F27" i="2" s="1"/>
  <c r="P11" i="2"/>
  <c r="M11" i="2"/>
  <c r="I11" i="2"/>
  <c r="E11" i="2"/>
  <c r="O11" i="2"/>
  <c r="K11" i="2"/>
  <c r="G11" i="2"/>
  <c r="Z10" i="2"/>
  <c r="AB8" i="2"/>
  <c r="T8" i="2"/>
  <c r="X10" i="2"/>
  <c r="Z8" i="2"/>
  <c r="V10" i="2"/>
  <c r="X8" i="2"/>
  <c r="AB10" i="2"/>
  <c r="T10" i="2"/>
  <c r="V8" i="2"/>
  <c r="R10" i="2"/>
  <c r="R9" i="2"/>
  <c r="AB9" i="2"/>
  <c r="X9" i="2"/>
  <c r="T9" i="2"/>
  <c r="Z7" i="2"/>
  <c r="V7" i="2"/>
  <c r="R8" i="2"/>
  <c r="W7" i="2" l="1"/>
  <c r="U7" i="2"/>
  <c r="W9" i="2"/>
  <c r="U8" i="2"/>
  <c r="G18" i="2"/>
  <c r="G27" i="2" s="1"/>
  <c r="W10" i="2"/>
  <c r="I18" i="2"/>
  <c r="I27" i="2" s="1"/>
  <c r="U9" i="2"/>
  <c r="Y8" i="2"/>
  <c r="K18" i="2"/>
  <c r="K27" i="2" s="1"/>
  <c r="AA10" i="2"/>
  <c r="M18" i="2"/>
  <c r="M27" i="2" s="1"/>
  <c r="AC8" i="2"/>
  <c r="O18" i="2"/>
  <c r="O27" i="2" s="1"/>
  <c r="AD7" i="2"/>
  <c r="P18" i="2"/>
  <c r="AD18" i="2" s="1"/>
  <c r="AC7" i="2"/>
  <c r="U10" i="2"/>
  <c r="S10" i="2"/>
  <c r="E18" i="2"/>
  <c r="E27" i="2" s="1"/>
  <c r="AA8" i="2"/>
  <c r="AD9" i="2"/>
  <c r="Y9" i="2"/>
  <c r="AD10" i="2"/>
  <c r="AA9" i="2"/>
  <c r="AC10" i="2"/>
  <c r="AC9" i="2"/>
  <c r="AD8" i="2"/>
  <c r="Y10" i="2"/>
  <c r="Y7" i="2"/>
  <c r="S8" i="2"/>
  <c r="S9" i="2"/>
  <c r="W8" i="2"/>
  <c r="AB11" i="2"/>
  <c r="AA7" i="2"/>
  <c r="S7" i="2"/>
  <c r="T11" i="2"/>
  <c r="X11" i="2"/>
  <c r="R11" i="2"/>
  <c r="V11" i="2"/>
  <c r="Z11" i="2"/>
  <c r="Y11" i="2" l="1"/>
  <c r="P27" i="2"/>
  <c r="W27" i="2" s="1"/>
  <c r="T18" i="2"/>
  <c r="U11" i="2"/>
  <c r="W11" i="2"/>
  <c r="AC11" i="2"/>
  <c r="V18" i="2"/>
  <c r="AC18" i="2"/>
  <c r="AB18" i="2"/>
  <c r="Y18" i="2"/>
  <c r="W18" i="2"/>
  <c r="R18" i="2"/>
  <c r="Z18" i="2"/>
  <c r="X18" i="2"/>
  <c r="AA18" i="2"/>
  <c r="U18" i="2"/>
  <c r="S18" i="2"/>
  <c r="AA11" i="2"/>
  <c r="S11" i="2"/>
  <c r="AD11" i="2"/>
  <c r="U27" i="2" l="1"/>
  <c r="AC27" i="2"/>
  <c r="AD27" i="2"/>
  <c r="X27" i="2"/>
  <c r="AB27" i="2"/>
  <c r="R27" i="2"/>
  <c r="Z27" i="2"/>
  <c r="V27" i="2"/>
  <c r="T27" i="2"/>
  <c r="S27" i="2"/>
  <c r="AA27" i="2"/>
  <c r="Y27" i="2"/>
</calcChain>
</file>

<file path=xl/sharedStrings.xml><?xml version="1.0" encoding="utf-8"?>
<sst xmlns="http://schemas.openxmlformats.org/spreadsheetml/2006/main" count="235" uniqueCount="57">
  <si>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</si>
  <si>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</si>
  <si>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</si>
  <si>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</si>
  <si>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</si>
  <si>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</si>
  <si>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</si>
  <si>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</si>
  <si>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</si>
  <si>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</si>
  <si>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</si>
  <si>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</si>
  <si>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% m1</t>
  </si>
  <si>
    <t>% m2</t>
  </si>
  <si>
    <t>% m3</t>
  </si>
  <si>
    <t>% m4</t>
  </si>
  <si>
    <t>% m5</t>
  </si>
  <si>
    <t>% m6</t>
  </si>
  <si>
    <t>% m7</t>
  </si>
  <si>
    <t>% m8</t>
  </si>
  <si>
    <t>% m9</t>
  </si>
  <si>
    <t>% m10</t>
  </si>
  <si>
    <t>% m11</t>
  </si>
  <si>
    <t>% m12</t>
  </si>
  <si>
    <t>Ind %</t>
  </si>
  <si>
    <t>% y</t>
  </si>
  <si>
    <t>Yearly</t>
  </si>
  <si>
    <t>Gross Profit</t>
  </si>
  <si>
    <t>Misc. (unspecified)</t>
  </si>
  <si>
    <t>Net Profit</t>
  </si>
  <si>
    <t xml:space="preserve"> </t>
  </si>
  <si>
    <t>Twelve Month</t>
  </si>
  <si>
    <t>PROFIT &amp; LOSS PROJECTION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</si>
  <si>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</si>
  <si>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</si>
  <si>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</si>
  <si>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</si>
  <si>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</si>
  <si>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</si>
  <si>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</si>
  <si>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</si>
  <si>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FISCAL YEAR BEGINS:</t>
  </si>
  <si>
    <t>JAN</t>
  </si>
  <si>
    <t>IND %</t>
  </si>
  <si>
    <t>YEARLY</t>
  </si>
  <si>
    <t>YEAR %</t>
  </si>
  <si>
    <t>Silver  Upgrade</t>
  </si>
  <si>
    <t>Gold Upgrade</t>
  </si>
  <si>
    <t xml:space="preserve"> Platinum Upgrade</t>
  </si>
  <si>
    <t xml:space="preserve">Schools </t>
  </si>
  <si>
    <t>PayPal Fee</t>
  </si>
  <si>
    <t xml:space="preserve">Stripe Fee </t>
  </si>
  <si>
    <t xml:space="preserve">Hosting </t>
  </si>
  <si>
    <t>Google Mail</t>
  </si>
  <si>
    <t>n/a</t>
  </si>
  <si>
    <t>Virtual address</t>
  </si>
  <si>
    <t>Virtual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</si>
</sst>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;;;"/>
    <numFmt numFmtId="167" formatCode="0%;;&quot;-&quot;;"/>
    <numFmt numFmtId="168" formatCode="&quot;£&quot;#,##0.00"/>
    <numFmt numFmtId="169" formatCode="&quot;£&quot;#,##0"/>
  </numFmts>
  <fonts count="22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1"/>
      <name val="Bookman Old Style"/>
      <family val="1"/>
      <scheme val="major"/>
    </font>
    <font>
      <b/>
      <sz val="12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3"/>
      <name val="Century Gothic"/>
      <family val="2"/>
      <scheme val="minor"/>
    </font>
    <font>
      <sz val="10"/>
      <color theme="3"/>
      <name val="Bookman Old Style"/>
      <family val="1"/>
      <scheme val="maj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16"/>
      <color theme="7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0"/>
      <color theme="0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theme="8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8" fillId="0" borderId="0" xfId="1" applyNumberFormat="1" applyFont="1" applyFill="1" applyBorder="1"/>
    <xf numFmtId="9" fontId="8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9" fontId="9" fillId="2" borderId="0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Alignment="1"/>
    <xf numFmtId="9" fontId="8" fillId="0" borderId="0" xfId="2" applyFont="1" applyFill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4" borderId="4" xfId="0" applyFont="1" applyFill="1" applyBorder="1"/>
    <xf numFmtId="0" fontId="8" fillId="5" borderId="5" xfId="0" applyFont="1" applyFill="1" applyBorder="1" applyAlignment="1">
      <alignment horizontal="center"/>
    </xf>
    <xf numFmtId="164" fontId="8" fillId="5" borderId="5" xfId="1" applyNumberFormat="1" applyFont="1" applyFill="1" applyBorder="1"/>
    <xf numFmtId="9" fontId="8" fillId="5" borderId="9" xfId="2" applyFont="1" applyFill="1" applyBorder="1" applyAlignment="1">
      <alignment horizontal="right"/>
    </xf>
    <xf numFmtId="9" fontId="8" fillId="5" borderId="10" xfId="2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4" fillId="0" borderId="0" xfId="3" applyBorder="1" applyAlignment="1">
      <alignment vertical="center"/>
    </xf>
    <xf numFmtId="0" fontId="15" fillId="0" borderId="0" xfId="4" applyFill="1" applyAlignment="1">
      <alignment horizontal="right" indent="1"/>
    </xf>
    <xf numFmtId="0" fontId="15" fillId="0" borderId="0" xfId="4" applyFill="1" applyAlignment="1">
      <alignment horizontal="center"/>
    </xf>
    <xf numFmtId="0" fontId="15" fillId="0" borderId="0" xfId="4" applyFill="1" applyBorder="1" applyAlignment="1">
      <alignment horizontal="right" indent="1"/>
    </xf>
    <xf numFmtId="0" fontId="15" fillId="0" borderId="0" xfId="4" applyFill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0" fillId="0" borderId="11" xfId="0" applyBorder="1"/>
    <xf numFmtId="0" fontId="16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9" fontId="8" fillId="5" borderId="8" xfId="2" applyNumberFormat="1" applyFont="1" applyFill="1" applyBorder="1" applyAlignment="1">
      <alignment horizontal="right"/>
    </xf>
    <xf numFmtId="9" fontId="8" fillId="5" borderId="9" xfId="2" applyNumberFormat="1" applyFont="1" applyFill="1" applyBorder="1" applyAlignment="1">
      <alignment horizontal="right"/>
    </xf>
    <xf numFmtId="9" fontId="8" fillId="5" borderId="10" xfId="2" applyNumberFormat="1" applyFont="1" applyFill="1" applyBorder="1" applyAlignment="1">
      <alignment horizontal="right"/>
    </xf>
    <xf numFmtId="0" fontId="0" fillId="0" borderId="0" xfId="0" applyNumberFormat="1"/>
    <xf numFmtId="0" fontId="19" fillId="0" borderId="0" xfId="0" applyFont="1" applyAlignment="1">
      <alignment horizontal="right" indent="1"/>
    </xf>
    <xf numFmtId="0" fontId="19" fillId="0" borderId="0" xfId="0" applyFont="1"/>
    <xf numFmtId="9" fontId="19" fillId="0" borderId="0" xfId="0" applyNumberFormat="1" applyFont="1" applyFill="1" applyAlignment="1">
      <alignment horizontal="right"/>
    </xf>
    <xf numFmtId="0" fontId="19" fillId="0" borderId="0" xfId="0" applyFont="1" applyBorder="1" applyAlignment="1">
      <alignment horizontal="right" indent="1"/>
    </xf>
    <xf numFmtId="0" fontId="19" fillId="0" borderId="4" xfId="0" applyFont="1" applyBorder="1"/>
    <xf numFmtId="167" fontId="19" fillId="0" borderId="0" xfId="0" applyNumberFormat="1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9" fontId="8" fillId="3" borderId="6" xfId="2" applyFont="1" applyFill="1" applyBorder="1" applyAlignment="1">
      <alignment horizontal="right"/>
    </xf>
    <xf numFmtId="9" fontId="8" fillId="3" borderId="1" xfId="2" applyFont="1" applyFill="1" applyBorder="1" applyAlignment="1">
      <alignment horizontal="right"/>
    </xf>
    <xf numFmtId="9" fontId="8" fillId="3" borderId="7" xfId="2" applyFont="1" applyFill="1" applyBorder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9" fontId="8" fillId="4" borderId="8" xfId="2" applyFont="1" applyFill="1" applyBorder="1" applyAlignment="1">
      <alignment horizontal="right"/>
    </xf>
    <xf numFmtId="9" fontId="8" fillId="4" borderId="9" xfId="2" applyFont="1" applyFill="1" applyBorder="1" applyAlignment="1">
      <alignment horizontal="right"/>
    </xf>
    <xf numFmtId="9" fontId="8" fillId="4" borderId="10" xfId="2" applyFont="1" applyFill="1" applyBorder="1" applyAlignment="1">
      <alignment horizontal="right"/>
    </xf>
    <xf numFmtId="9" fontId="19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8" fontId="8" fillId="0" borderId="0" xfId="1" applyNumberFormat="1" applyFont="1" applyFill="1"/>
    <xf numFmtId="168" fontId="8" fillId="3" borderId="2" xfId="1" applyNumberFormat="1" applyFont="1" applyFill="1" applyBorder="1" applyAlignment="1">
      <alignment horizontal="center"/>
    </xf>
    <xf numFmtId="168" fontId="8" fillId="0" borderId="0" xfId="1" applyNumberFormat="1" applyFont="1" applyFill="1" applyBorder="1"/>
    <xf numFmtId="168" fontId="8" fillId="4" borderId="4" xfId="1" applyNumberFormat="1" applyFont="1" applyFill="1" applyBorder="1"/>
    <xf numFmtId="168" fontId="19" fillId="0" borderId="4" xfId="0" applyNumberFormat="1" applyFont="1" applyBorder="1"/>
    <xf numFmtId="168" fontId="19" fillId="0" borderId="0" xfId="0" applyNumberFormat="1" applyFont="1" applyFill="1" applyBorder="1"/>
    <xf numFmtId="168" fontId="19" fillId="0" borderId="0" xfId="1" applyNumberFormat="1" applyFont="1" applyFill="1"/>
    <xf numFmtId="168" fontId="19" fillId="0" borderId="0" xfId="1" applyNumberFormat="1" applyFont="1"/>
    <xf numFmtId="169" fontId="8" fillId="0" borderId="0" xfId="1" applyNumberFormat="1" applyFont="1" applyFill="1" applyBorder="1"/>
    <xf numFmtId="169" fontId="8" fillId="5" borderId="5" xfId="1" applyNumberFormat="1" applyFont="1" applyFill="1" applyBorder="1"/>
    <xf numFmtId="169" fontId="9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68" fontId="0" fillId="0" borderId="0" xfId="1" applyNumberFormat="1" applyFont="1" applyFill="1" applyBorder="1"/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/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5" borderId="5" xfId="0" applyFont="1" applyFill="1" applyBorder="1" applyAlignment="1">
      <alignment horizontal="center"/>
    </xf>
    <xf numFmtId="0" fontId="20" fillId="0" borderId="0" xfId="0" applyFont="1"/>
    <xf numFmtId="17" fontId="0" fillId="0" borderId="0" xfId="0" applyNumberFormat="1"/>
    <xf numFmtId="14" fontId="21" fillId="0" borderId="3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indent="1"/>
    </xf>
    <xf numFmtId="165" fontId="8" fillId="0" borderId="0" xfId="1" applyFont="1" applyFill="1" applyBorder="1"/>
    <xf numFmtId="165" fontId="8" fillId="5" borderId="5" xfId="1" applyFont="1" applyFill="1" applyBorder="1"/>
    <xf numFmtId="9" fontId="0" fillId="0" borderId="13" xfId="0" applyNumberFormat="1" applyFont="1" applyFill="1" applyBorder="1" applyAlignment="1">
      <alignment horizontal="right"/>
    </xf>
    <xf numFmtId="9" fontId="0" fillId="5" borderId="8" xfId="2" applyNumberFormat="1" applyFont="1" applyFill="1" applyBorder="1" applyAlignment="1">
      <alignment horizontal="right"/>
    </xf>
    <xf numFmtId="9" fontId="0" fillId="5" borderId="9" xfId="2" applyFont="1" applyFill="1" applyBorder="1" applyAlignment="1">
      <alignment horizontal="right"/>
    </xf>
    <xf numFmtId="9" fontId="0" fillId="5" borderId="10" xfId="2" applyFont="1" applyFill="1" applyBorder="1" applyAlignment="1">
      <alignment horizontal="right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35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7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9" formatCode="&quot;£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>
        <right style="thin">
          <color theme="0" tint="-4.9989318521683403E-2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8" formatCode="&quot;£&quot;#,##0.00"/>
      <fill>
        <patternFill patternType="solid">
          <fgColor indexed="64"/>
          <bgColor theme="4" tint="0.399975585192419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  <border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entury Gothic"/>
        <scheme val="minor"/>
      </font>
      <numFmt numFmtId="166" formatCode=";;;"/>
      <fill>
        <patternFill patternType="none">
          <fgColor theme="6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3"/>
        <name val="Century Gothic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>
        <right style="thin">
          <color theme="0" tint="-4.9989318521683403E-2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7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8" formatCode="&quot;£&quot;#,##0.00"/>
      <fill>
        <patternFill patternType="solid">
          <fgColor indexed="64"/>
          <bgColor theme="4" tint="0.399975585192419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  <border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entury Gothic"/>
        <scheme val="minor"/>
      </font>
      <numFmt numFmtId="166" formatCode=";;;"/>
      <fill>
        <patternFill patternType="none">
          <fgColor theme="6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&quot;£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3"/>
        <name val="Century Gothic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350"/>
      <tableStyleElement type="headerRow" dxfId="349"/>
      <tableStyleElement type="totalRow" dxfId="348"/>
      <tableStyleElement type="firstRowStripe" dxfId="347"/>
      <tableStyleElement type="secondRowStripe" dxfId="346"/>
    </tableStyle>
    <tableStyle name="Profit &amp; Loss Revenue" pivot="0" count="5">
      <tableStyleElement type="wholeTable" dxfId="345"/>
      <tableStyleElement type="headerRow" dxfId="344"/>
      <tableStyleElement type="totalRow" dxfId="343"/>
      <tableStyleElement type="firstRowStripe" dxfId="342"/>
      <tableStyleElement type="secondRowStripe" dxfId="341"/>
    </tableStyle>
    <tableStyle name="Profit &amp; Loss Sales" pivot="0" count="5">
      <tableStyleElement type="wholeTable" dxfId="340"/>
      <tableStyleElement type="headerRow" dxfId="339"/>
      <tableStyleElement type="totalRow" dxfId="338"/>
      <tableStyleElement type="firstRowStripe" dxfId="337"/>
      <tableStyleElement type="secondRowStripe" dxfId="3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blRevenue" displayName="tblRevenue" ref="B6:AD11" totalsRowCount="1" headerRowDxfId="335">
  <tableColumns count="29">
    <tableColumn id="1" name="REVENUES (SALES)" totalsRowLabel="TOTAL SALES" dataDxfId="334" totalsRowDxfId="333"/>
    <tableColumn id="29" name="TREND" dataDxfId="332" totalsRowDxfId="331"/>
    <tableColumn id="2" name="m1" totalsRowFunction="sum" dataDxfId="330" totalsRowDxfId="329" dataCellStyle="Currency" totalsRowCellStyle="Currency"/>
    <tableColumn id="3" name="m2" totalsRowFunction="sum" dataDxfId="328" totalsRowDxfId="327" dataCellStyle="Currency" totalsRowCellStyle="Currency"/>
    <tableColumn id="4" name="m3" totalsRowFunction="sum" dataDxfId="326" totalsRowDxfId="325" dataCellStyle="Currency" totalsRowCellStyle="Currency"/>
    <tableColumn id="5" name="m4" totalsRowFunction="sum" dataDxfId="324" totalsRowDxfId="323" dataCellStyle="Currency" totalsRowCellStyle="Currency"/>
    <tableColumn id="6" name="m5" totalsRowFunction="sum" dataDxfId="322" totalsRowDxfId="321" dataCellStyle="Currency" totalsRowCellStyle="Currency"/>
    <tableColumn id="7" name="m6" totalsRowFunction="sum" dataDxfId="320" totalsRowDxfId="319" dataCellStyle="Currency" totalsRowCellStyle="Currency"/>
    <tableColumn id="8" name="m7" totalsRowFunction="sum" dataDxfId="318" totalsRowDxfId="317" dataCellStyle="Currency" totalsRowCellStyle="Currency"/>
    <tableColumn id="9" name="m8" totalsRowFunction="sum" dataDxfId="316" totalsRowDxfId="315" dataCellStyle="Currency" totalsRowCellStyle="Currency"/>
    <tableColumn id="10" name="m9" totalsRowFunction="sum" dataDxfId="314" totalsRowDxfId="313" dataCellStyle="Currency" totalsRowCellStyle="Currency"/>
    <tableColumn id="11" name="m10" totalsRowFunction="sum" dataDxfId="312" totalsRowDxfId="311" dataCellStyle="Currency" totalsRowCellStyle="Currency"/>
    <tableColumn id="12" name="m11" totalsRowFunction="sum" dataDxfId="310" totalsRowDxfId="309" dataCellStyle="Currency" totalsRowCellStyle="Currency"/>
    <tableColumn id="13" name="m12" totalsRowFunction="sum" dataDxfId="308" totalsRowDxfId="307" dataCellStyle="Currency" totalsRowCellStyle="Currency"/>
    <tableColumn id="14" name="Yearly" totalsRowFunction="sum" dataDxfId="306" totalsRowDxfId="305" dataCellStyle="Currency" totalsRowCellStyle="Currency">
      <calculatedColumnFormula>SUM(tblRevenue[[#This Row],[m1]:[m12]])</calculatedColumnFormula>
    </tableColumn>
    <tableColumn id="15" name="Ind %" totalsRowFunction="sum" dataDxfId="304" totalsRowDxfId="303" dataCellStyle="Percent"/>
    <tableColumn id="16" name="% m1" totalsRowFunction="sum" dataDxfId="302" totalsRowDxfId="301" dataCellStyle="Percent">
      <calculatedColumnFormula>IFERROR(tblRevenue[[#This Row],[m1]]/tblRevenue[[#Totals],[m1]],"-")</calculatedColumnFormula>
    </tableColumn>
    <tableColumn id="17" name="% m2" totalsRowFunction="sum" dataDxfId="300" totalsRowDxfId="299" dataCellStyle="Percent">
      <calculatedColumnFormula>IFERROR(tblRevenue[[#This Row],[m2]]/tblRevenue[[#Totals],[m2]],"-")</calculatedColumnFormula>
    </tableColumn>
    <tableColumn id="18" name="% m3" totalsRowFunction="sum" dataDxfId="298" totalsRowDxfId="297" dataCellStyle="Percent">
      <calculatedColumnFormula>IFERROR(tblRevenue[[#This Row],[m3]]/tblRevenue[[#Totals],[m3]],"-")</calculatedColumnFormula>
    </tableColumn>
    <tableColumn id="19" name="% m4" totalsRowFunction="sum" dataDxfId="296" totalsRowDxfId="295" dataCellStyle="Percent">
      <calculatedColumnFormula>IFERROR(tblRevenue[[#This Row],[m4]]/tblRevenue[[#Totals],[m4]],"-")</calculatedColumnFormula>
    </tableColumn>
    <tableColumn id="20" name="% m5" totalsRowFunction="sum" dataDxfId="294" totalsRowDxfId="293" dataCellStyle="Percent">
      <calculatedColumnFormula>IFERROR(tblRevenue[[#This Row],[m5]]/tblRevenue[[#Totals],[m5]],"-")</calculatedColumnFormula>
    </tableColumn>
    <tableColumn id="21" name="% m6" totalsRowFunction="sum" dataDxfId="292" totalsRowDxfId="291" dataCellStyle="Percent">
      <calculatedColumnFormula>IFERROR(tblRevenue[[#This Row],[m6]]/tblRevenue[[#Totals],[m6]],"-")</calculatedColumnFormula>
    </tableColumn>
    <tableColumn id="22" name="% m7" totalsRowFunction="sum" dataDxfId="290" totalsRowDxfId="289" dataCellStyle="Percent">
      <calculatedColumnFormula>IFERROR(tblRevenue[[#This Row],[m7]]/tblRevenue[[#Totals],[m7]],"-")</calculatedColumnFormula>
    </tableColumn>
    <tableColumn id="23" name="% m8" totalsRowFunction="sum" dataDxfId="288" totalsRowDxfId="287" dataCellStyle="Percent">
      <calculatedColumnFormula>IFERROR(tblRevenue[[#This Row],[m8]]/tblRevenue[[#Totals],[m8]],"-")</calculatedColumnFormula>
    </tableColumn>
    <tableColumn id="24" name="% m9" totalsRowFunction="sum" dataDxfId="286" totalsRowDxfId="285" dataCellStyle="Percent">
      <calculatedColumnFormula>IFERROR(tblRevenue[[#This Row],[m9]]/tblRevenue[[#Totals],[m9]],"-")</calculatedColumnFormula>
    </tableColumn>
    <tableColumn id="25" name="% m10" totalsRowFunction="sum" dataDxfId="284" totalsRowDxfId="283" dataCellStyle="Percent">
      <calculatedColumnFormula>IFERROR(tblRevenue[[#This Row],[m10]]/tblRevenue[[#Totals],[m10]],"-")</calculatedColumnFormula>
    </tableColumn>
    <tableColumn id="26" name="% m11" totalsRowFunction="sum" dataDxfId="282" totalsRowDxfId="281" dataCellStyle="Percent">
      <calculatedColumnFormula>IFERROR(tblRevenue[[#This Row],[m11]]/tblRevenue[[#Totals],[m11]],"-")</calculatedColumnFormula>
    </tableColumn>
    <tableColumn id="27" name="% m12" totalsRowFunction="sum" dataDxfId="280" totalsRowDxfId="279" dataCellStyle="Percent">
      <calculatedColumnFormula>IFERROR(tblRevenue[[#This Row],[m12]]/tblRevenue[[#Totals],[m12]],"-")</calculatedColumnFormula>
    </tableColumn>
    <tableColumn id="28" name="% y" totalsRowFunction="sum" dataDxfId="278" totalsRowDxfId="277" dataCellStyle="Percent">
      <calculatedColumnFormula>IFERROR(tblRevenue[[#This Row],[Yearly]]/tblRevenue[[#Totals],[Yearly]],"-")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Revenue (Sales)" altTextSummary="Summary of monthly sales, yearly total, and monthly percentages for each type of revenue item."/>
    </ext>
  </extLst>
</table>
</file>

<file path=xl/tables/table2.xml><?xml version="1.0" encoding="utf-8"?>
<table xmlns="http://schemas.openxmlformats.org/spreadsheetml/2006/main" id="4" name="tblCostofSales" displayName="tblCostofSales" ref="B13:AD16" totalsRowCount="1" headerRowDxfId="276" dataDxfId="275" totalsRowDxfId="274">
  <tableColumns count="29">
    <tableColumn id="1" name="COST OF SALES" totalsRowLabel="TOTAL COST OF SALES" dataDxfId="273" totalsRowDxfId="272"/>
    <tableColumn id="2" name="TREND" dataDxfId="271" totalsRowDxfId="270"/>
    <tableColumn id="3" name="m1" totalsRowFunction="sum" dataDxfId="269" totalsRowDxfId="268" dataCellStyle="Currency"/>
    <tableColumn id="4" name="m2" totalsRowFunction="sum" dataDxfId="267" totalsRowDxfId="266" dataCellStyle="Currency"/>
    <tableColumn id="5" name="m3" totalsRowFunction="sum" dataDxfId="265" totalsRowDxfId="264" dataCellStyle="Currency"/>
    <tableColumn id="6" name="m4" totalsRowFunction="sum" dataDxfId="263" totalsRowDxfId="262" dataCellStyle="Currency"/>
    <tableColumn id="7" name="m5" totalsRowFunction="sum" dataDxfId="261" totalsRowDxfId="260" dataCellStyle="Currency"/>
    <tableColumn id="8" name="m6" totalsRowFunction="sum" dataDxfId="259" totalsRowDxfId="258" dataCellStyle="Currency"/>
    <tableColumn id="9" name="m7" totalsRowFunction="sum" dataDxfId="257" totalsRowDxfId="256" dataCellStyle="Currency"/>
    <tableColumn id="10" name="m8" totalsRowFunction="sum" dataDxfId="255" totalsRowDxfId="254" dataCellStyle="Currency"/>
    <tableColumn id="11" name="m9" totalsRowFunction="sum" dataDxfId="253" totalsRowDxfId="252" dataCellStyle="Currency"/>
    <tableColumn id="12" name="m10" totalsRowFunction="sum" dataDxfId="251" totalsRowDxfId="250" dataCellStyle="Currency"/>
    <tableColumn id="13" name="m11" totalsRowFunction="sum" dataDxfId="249" totalsRowDxfId="248" dataCellStyle="Currency"/>
    <tableColumn id="14" name="m12" totalsRowFunction="sum" dataDxfId="247" totalsRowDxfId="246" dataCellStyle="Currency"/>
    <tableColumn id="15" name="Yearly" totalsRowFunction="sum" dataDxfId="245" totalsRowDxfId="244" dataCellStyle="Currency">
      <calculatedColumnFormula>SUM(tblCostofSales[[#This Row],[m1]:[m12]])</calculatedColumnFormula>
    </tableColumn>
    <tableColumn id="16" name="Ind %" totalsRowFunction="sum" dataDxfId="243" totalsRowDxfId="242"/>
    <tableColumn id="17" name="% m1" totalsRowFunction="sum" dataDxfId="241" totalsRowDxfId="240" dataCellStyle="Percent">
      <calculatedColumnFormula>IFERROR(tblCostofSales[[#This Row],[m1]]/tblCostofSales[[#Totals],[m1]],"-")</calculatedColumnFormula>
    </tableColumn>
    <tableColumn id="18" name="% m2" totalsRowFunction="sum" dataDxfId="239" totalsRowDxfId="238" dataCellStyle="Percent">
      <calculatedColumnFormula>IFERROR(tblCostofSales[[#This Row],[m2]]/tblCostofSales[[#Totals],[m2]],"-")</calculatedColumnFormula>
    </tableColumn>
    <tableColumn id="19" name="% m3" totalsRowFunction="sum" dataDxfId="237" totalsRowDxfId="236" dataCellStyle="Percent">
      <calculatedColumnFormula>IFERROR(tblCostofSales[[#This Row],[m3]]/tblCostofSales[[#Totals],[m3]],"-")</calculatedColumnFormula>
    </tableColumn>
    <tableColumn id="20" name="% m4" totalsRowFunction="sum" dataDxfId="235" totalsRowDxfId="234" dataCellStyle="Percent">
      <calculatedColumnFormula>IFERROR(tblCostofSales[[#This Row],[m4]]/tblCostofSales[[#Totals],[m4]],"-")</calculatedColumnFormula>
    </tableColumn>
    <tableColumn id="21" name="% m5" totalsRowFunction="sum" dataDxfId="233" totalsRowDxfId="232" dataCellStyle="Percent">
      <calculatedColumnFormula>IFERROR(tblCostofSales[[#This Row],[m5]]/tblCostofSales[[#Totals],[m5]],"-")</calculatedColumnFormula>
    </tableColumn>
    <tableColumn id="22" name="% m6" totalsRowFunction="sum" dataDxfId="231" totalsRowDxfId="230" dataCellStyle="Percent">
      <calculatedColumnFormula>IFERROR(tblCostofSales[[#This Row],[m6]]/tblCostofSales[[#Totals],[m6]],"-")</calculatedColumnFormula>
    </tableColumn>
    <tableColumn id="23" name="% m7" totalsRowFunction="sum" dataDxfId="229" totalsRowDxfId="228" dataCellStyle="Percent">
      <calculatedColumnFormula>IFERROR(tblCostofSales[[#This Row],[m7]]/tblCostofSales[[#Totals],[m7]],"-")</calculatedColumnFormula>
    </tableColumn>
    <tableColumn id="24" name="% m8" totalsRowFunction="sum" dataDxfId="227" totalsRowDxfId="226" dataCellStyle="Percent">
      <calculatedColumnFormula>IFERROR(tblCostofSales[[#This Row],[m8]]/tblCostofSales[[#Totals],[m8]],"-")</calculatedColumnFormula>
    </tableColumn>
    <tableColumn id="25" name="% m9" totalsRowFunction="sum" dataDxfId="225" totalsRowDxfId="224" dataCellStyle="Percent">
      <calculatedColumnFormula>IFERROR(tblCostofSales[[#This Row],[m9]]/tblCostofSales[[#Totals],[m9]],"-")</calculatedColumnFormula>
    </tableColumn>
    <tableColumn id="26" name="% m10" totalsRowFunction="sum" dataDxfId="223" totalsRowDxfId="222" dataCellStyle="Percent">
      <calculatedColumnFormula>IFERROR(tblCostofSales[[#This Row],[m10]]/tblCostofSales[[#Totals],[m10]],"-")</calculatedColumnFormula>
    </tableColumn>
    <tableColumn id="27" name="% m11" totalsRowFunction="sum" dataDxfId="221" totalsRowDxfId="220" dataCellStyle="Percent">
      <calculatedColumnFormula>IFERROR(tblCostofSales[[#This Row],[m11]]/tblCostofSales[[#Totals],[m11]],"-")</calculatedColumnFormula>
    </tableColumn>
    <tableColumn id="28" name="% m12" totalsRowFunction="sum" dataDxfId="219" totalsRowDxfId="218" dataCellStyle="Percent">
      <calculatedColumnFormula>IFERROR(tblCostofSales[[#This Row],[m12]]/tblCostofSales[[#Totals],[m12]],"-")</calculatedColumnFormula>
    </tableColumn>
    <tableColumn id="29" name="% y" totalsRowFunction="sum" dataDxfId="217" totalsRowDxfId="216" dataCellStyle="Percent">
      <calculatedColumnFormula>IFERROR(tblCostofSales[[#This Row],[Yearly]]/tblCostofSales[[#Totals],[Yearly]],"-")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 of Sales" altTextSummary="Summary of cost of sales, yearly total, and monthly percentages for each type of cost item."/>
    </ext>
  </extLst>
</table>
</file>

<file path=xl/tables/table3.xml><?xml version="1.0" encoding="utf-8"?>
<table xmlns="http://schemas.openxmlformats.org/spreadsheetml/2006/main" id="5" name="tblExpenses" displayName="tblExpenses" ref="B20:AD25" totalsRowCount="1" headerRowDxfId="215" dataDxfId="214" totalsRowDxfId="213">
  <tableColumns count="29">
    <tableColumn id="1" name="EXPENSES" totalsRowLabel="TOTAL EXPENSES" dataDxfId="212" totalsRowDxfId="115"/>
    <tableColumn id="2" name="TREND" totalsRowLabel=" " dataDxfId="211" totalsRowDxfId="114"/>
    <tableColumn id="3" name="m1" totalsRowFunction="sum" totalsRowDxfId="113" dataCellStyle="Currency"/>
    <tableColumn id="4" name="m2" totalsRowFunction="sum" totalsRowDxfId="112" dataCellStyle="Currency"/>
    <tableColumn id="5" name="m3" totalsRowFunction="sum" totalsRowDxfId="111" dataCellStyle="Currency"/>
    <tableColumn id="6" name="m4" totalsRowFunction="sum" totalsRowDxfId="110" dataCellStyle="Currency"/>
    <tableColumn id="7" name="m5" totalsRowFunction="sum" totalsRowDxfId="109" dataCellStyle="Currency"/>
    <tableColumn id="8" name="m6" totalsRowFunction="sum" totalsRowDxfId="108" dataCellStyle="Currency"/>
    <tableColumn id="9" name="m7" totalsRowFunction="sum" totalsRowDxfId="107" dataCellStyle="Currency"/>
    <tableColumn id="10" name="m8" totalsRowFunction="sum" totalsRowDxfId="106" dataCellStyle="Currency"/>
    <tableColumn id="11" name="m9" totalsRowFunction="sum" totalsRowDxfId="105" dataCellStyle="Currency"/>
    <tableColumn id="12" name="m10" totalsRowFunction="sum" totalsRowDxfId="104" dataCellStyle="Currency"/>
    <tableColumn id="13" name="m11" totalsRowFunction="sum" totalsRowDxfId="103" dataCellStyle="Currency"/>
    <tableColumn id="14" name="m12" totalsRowFunction="sum" totalsRowDxfId="102" dataCellStyle="Currency"/>
    <tableColumn id="15" name="Yearly" totalsRowFunction="sum" totalsRowDxfId="101" dataCellStyle="Currency">
      <calculatedColumnFormula>SUM(tblExpenses[[#This Row],[m1]:[m12]])</calculatedColumnFormula>
    </tableColumn>
    <tableColumn id="16" name="Ind %" totalsRowFunction="sum" dataDxfId="210" totalsRowDxfId="100"/>
    <tableColumn id="17" name="% m1" totalsRowFunction="sum" dataDxfId="209" totalsRowDxfId="99" dataCellStyle="Percent">
      <calculatedColumnFormula>tblExpenses[[#This Row],[m1]]/tblExpenses[[#Totals],[m1]]</calculatedColumnFormula>
    </tableColumn>
    <tableColumn id="18" name="% m2" totalsRowFunction="sum" dataDxfId="208" totalsRowDxfId="98" dataCellStyle="Percent">
      <calculatedColumnFormula>tblExpenses[[#This Row],[m2]]/tblExpenses[[#Totals],[m2]]</calculatedColumnFormula>
    </tableColumn>
    <tableColumn id="19" name="% m3" totalsRowFunction="sum" dataDxfId="207" totalsRowDxfId="97" dataCellStyle="Percent">
      <calculatedColumnFormula>tblExpenses[[#This Row],[m3]]/tblExpenses[[#Totals],[m3]]</calculatedColumnFormula>
    </tableColumn>
    <tableColumn id="20" name="% m4" totalsRowFunction="sum" dataDxfId="206" totalsRowDxfId="96" dataCellStyle="Percent">
      <calculatedColumnFormula>tblExpenses[[#This Row],[m4]]/tblExpenses[[#Totals],[m4]]</calculatedColumnFormula>
    </tableColumn>
    <tableColumn id="21" name="% m5" totalsRowFunction="sum" dataDxfId="205" totalsRowDxfId="95" dataCellStyle="Percent">
      <calculatedColumnFormula>tblExpenses[[#This Row],[m5]]/tblExpenses[[#Totals],[m5]]</calculatedColumnFormula>
    </tableColumn>
    <tableColumn id="22" name="% m6" totalsRowFunction="sum" dataDxfId="204" totalsRowDxfId="94" dataCellStyle="Percent">
      <calculatedColumnFormula>tblExpenses[[#This Row],[m6]]/tblExpenses[[#Totals],[m6]]</calculatedColumnFormula>
    </tableColumn>
    <tableColumn id="23" name="% m7" totalsRowFunction="sum" dataDxfId="203" totalsRowDxfId="93" dataCellStyle="Percent">
      <calculatedColumnFormula>tblExpenses[[#This Row],[m7]]/tblExpenses[[#Totals],[m7]]</calculatedColumnFormula>
    </tableColumn>
    <tableColumn id="24" name="% m8" totalsRowFunction="sum" dataDxfId="202" totalsRowDxfId="92" dataCellStyle="Percent">
      <calculatedColumnFormula>tblExpenses[[#This Row],[m8]]/tblExpenses[[#Totals],[m8]]</calculatedColumnFormula>
    </tableColumn>
    <tableColumn id="25" name="% m9" totalsRowFunction="sum" dataDxfId="201" totalsRowDxfId="91" dataCellStyle="Percent">
      <calculatedColumnFormula>tblExpenses[[#This Row],[m9]]/tblExpenses[[#Totals],[m9]]</calculatedColumnFormula>
    </tableColumn>
    <tableColumn id="26" name="% m10" totalsRowFunction="sum" dataDxfId="200" totalsRowDxfId="90" dataCellStyle="Percent">
      <calculatedColumnFormula>tblExpenses[[#This Row],[m10]]/tblExpenses[[#Totals],[m10]]</calculatedColumnFormula>
    </tableColumn>
    <tableColumn id="27" name="% m11" totalsRowFunction="sum" dataDxfId="199" totalsRowDxfId="89" dataCellStyle="Percent">
      <calculatedColumnFormula>tblExpenses[[#This Row],[m11]]/tblExpenses[[#Totals],[m11]]</calculatedColumnFormula>
    </tableColumn>
    <tableColumn id="28" name="% m12" totalsRowFunction="sum" dataDxfId="198" totalsRowDxfId="88" dataCellStyle="Percent">
      <calculatedColumnFormula>tblExpenses[[#This Row],[m12]]/tblExpenses[[#Totals],[m12]]</calculatedColumnFormula>
    </tableColumn>
    <tableColumn id="29" name="% y" totalsRowFunction="sum" dataDxfId="197" totalsRowDxfId="87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Expenses" altTextSummary="Summary of expenses, yearly total, and monthly percentages for each type of expense item."/>
    </ext>
  </extLst>
</table>
</file>

<file path=xl/tables/table4.xml><?xml version="1.0" encoding="utf-8"?>
<table xmlns="http://schemas.openxmlformats.org/spreadsheetml/2006/main" id="10" name="tblRevenue11" displayName="tblRevenue11" ref="B6:AD11" totalsRowCount="1" headerRowDxfId="196">
  <tableColumns count="29">
    <tableColumn id="1" name="REVENUES (SALES)" totalsRowLabel="TOTAL SALES" dataDxfId="195" totalsRowDxfId="86"/>
    <tableColumn id="29" name="TREND" dataDxfId="194" totalsRowDxfId="85"/>
    <tableColumn id="2" name="m1" totalsRowFunction="sum" dataDxfId="193" totalsRowDxfId="84" dataCellStyle="Currency" totalsRowCellStyle="Currency"/>
    <tableColumn id="3" name="m2" totalsRowFunction="sum" dataDxfId="192" totalsRowDxfId="83" dataCellStyle="Currency" totalsRowCellStyle="Currency"/>
    <tableColumn id="4" name="m3" totalsRowFunction="sum" dataDxfId="191" totalsRowDxfId="82" dataCellStyle="Currency" totalsRowCellStyle="Currency"/>
    <tableColumn id="5" name="m4" totalsRowFunction="sum" dataDxfId="190" totalsRowDxfId="81" dataCellStyle="Currency" totalsRowCellStyle="Currency"/>
    <tableColumn id="6" name="m5" totalsRowFunction="sum" dataDxfId="189" totalsRowDxfId="80" dataCellStyle="Currency" totalsRowCellStyle="Currency"/>
    <tableColumn id="7" name="m6" totalsRowFunction="sum" dataDxfId="188" totalsRowDxfId="79" dataCellStyle="Currency" totalsRowCellStyle="Currency"/>
    <tableColumn id="8" name="m7" totalsRowFunction="sum" dataDxfId="187" totalsRowDxfId="78" dataCellStyle="Currency" totalsRowCellStyle="Currency"/>
    <tableColumn id="9" name="m8" totalsRowFunction="sum" dataDxfId="186" totalsRowDxfId="77" dataCellStyle="Currency" totalsRowCellStyle="Currency"/>
    <tableColumn id="10" name="m9" totalsRowFunction="sum" dataDxfId="185" totalsRowDxfId="76" dataCellStyle="Currency" totalsRowCellStyle="Currency"/>
    <tableColumn id="11" name="m10" totalsRowFunction="sum" dataDxfId="184" totalsRowDxfId="75" dataCellStyle="Currency" totalsRowCellStyle="Currency"/>
    <tableColumn id="12" name="m11" totalsRowFunction="sum" dataDxfId="183" totalsRowDxfId="74" dataCellStyle="Currency" totalsRowCellStyle="Currency"/>
    <tableColumn id="13" name="m12" totalsRowFunction="sum" dataDxfId="182" totalsRowDxfId="73" dataCellStyle="Currency" totalsRowCellStyle="Currency"/>
    <tableColumn id="14" name="Yearly" totalsRowFunction="sum" dataDxfId="181" totalsRowDxfId="72" dataCellStyle="Currency" totalsRowCellStyle="Currency">
      <calculatedColumnFormula>SUM(tblRevenue11[[#This Row],[m1]:[m12]])</calculatedColumnFormula>
    </tableColumn>
    <tableColumn id="15" name="Ind %" totalsRowFunction="sum" dataDxfId="180" totalsRowDxfId="71" dataCellStyle="Percent"/>
    <tableColumn id="16" name="% m1" totalsRowFunction="sum" dataDxfId="179" totalsRowDxfId="70" dataCellStyle="Percent">
      <calculatedColumnFormula>IFERROR(tblRevenue11[[#This Row],[m1]]/tblRevenue11[[#Totals],[m1]],"-")</calculatedColumnFormula>
    </tableColumn>
    <tableColumn id="17" name="% m2" totalsRowFunction="sum" dataDxfId="178" totalsRowDxfId="69" dataCellStyle="Percent">
      <calculatedColumnFormula>IFERROR(tblRevenue11[[#This Row],[m2]]/tblRevenue11[[#Totals],[m2]],"-")</calculatedColumnFormula>
    </tableColumn>
    <tableColumn id="18" name="% m3" totalsRowFunction="sum" dataDxfId="177" totalsRowDxfId="68" dataCellStyle="Percent">
      <calculatedColumnFormula>IFERROR(tblRevenue11[[#This Row],[m3]]/tblRevenue11[[#Totals],[m3]],"-")</calculatedColumnFormula>
    </tableColumn>
    <tableColumn id="19" name="% m4" totalsRowFunction="sum" dataDxfId="176" totalsRowDxfId="67" dataCellStyle="Percent">
      <calculatedColumnFormula>IFERROR(tblRevenue11[[#This Row],[m4]]/tblRevenue11[[#Totals],[m4]],"-")</calculatedColumnFormula>
    </tableColumn>
    <tableColumn id="20" name="% m5" totalsRowFunction="sum" dataDxfId="175" totalsRowDxfId="66" dataCellStyle="Percent">
      <calculatedColumnFormula>IFERROR(tblRevenue11[[#This Row],[m5]]/tblRevenue11[[#Totals],[m5]],"-")</calculatedColumnFormula>
    </tableColumn>
    <tableColumn id="21" name="% m6" totalsRowFunction="sum" dataDxfId="174" totalsRowDxfId="65" dataCellStyle="Percent">
      <calculatedColumnFormula>IFERROR(tblRevenue11[[#This Row],[m6]]/tblRevenue11[[#Totals],[m6]],"-")</calculatedColumnFormula>
    </tableColumn>
    <tableColumn id="22" name="% m7" totalsRowFunction="sum" dataDxfId="173" totalsRowDxfId="64" dataCellStyle="Percent">
      <calculatedColumnFormula>IFERROR(tblRevenue11[[#This Row],[m7]]/tblRevenue11[[#Totals],[m7]],"-")</calculatedColumnFormula>
    </tableColumn>
    <tableColumn id="23" name="% m8" totalsRowFunction="sum" dataDxfId="172" totalsRowDxfId="63" dataCellStyle="Percent">
      <calculatedColumnFormula>IFERROR(tblRevenue11[[#This Row],[m8]]/tblRevenue11[[#Totals],[m8]],"-")</calculatedColumnFormula>
    </tableColumn>
    <tableColumn id="24" name="% m9" totalsRowFunction="sum" dataDxfId="171" totalsRowDxfId="62" dataCellStyle="Percent">
      <calculatedColumnFormula>IFERROR(tblRevenue11[[#This Row],[m9]]/tblRevenue11[[#Totals],[m9]],"-")</calculatedColumnFormula>
    </tableColumn>
    <tableColumn id="25" name="% m10" totalsRowFunction="sum" dataDxfId="170" totalsRowDxfId="61" dataCellStyle="Percent">
      <calculatedColumnFormula>IFERROR(tblRevenue11[[#This Row],[m10]]/tblRevenue11[[#Totals],[m10]],"-")</calculatedColumnFormula>
    </tableColumn>
    <tableColumn id="26" name="% m11" totalsRowFunction="sum" dataDxfId="169" totalsRowDxfId="60" dataCellStyle="Percent">
      <calculatedColumnFormula>IFERROR(tblRevenue11[[#This Row],[m11]]/tblRevenue11[[#Totals],[m11]],"-")</calculatedColumnFormula>
    </tableColumn>
    <tableColumn id="27" name="% m12" totalsRowFunction="sum" dataDxfId="168" totalsRowDxfId="59" dataCellStyle="Percent">
      <calculatedColumnFormula>IFERROR(tblRevenue11[[#This Row],[m12]]/tblRevenue11[[#Totals],[m12]],"-")</calculatedColumnFormula>
    </tableColumn>
    <tableColumn id="28" name="% y" totalsRowFunction="sum" dataDxfId="167" totalsRowDxfId="58" dataCellStyle="Percent">
      <calculatedColumnFormula>IFERROR(tblRevenue11[[#This Row],[Yearly]]/tblRevenue11[[#Totals],[Yearly]],"-")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Revenue (Sales)" altTextSummary="Summary of monthly sales, yearly total, and monthly percentages for each type of revenue item."/>
    </ext>
  </extLst>
</table>
</file>

<file path=xl/tables/table5.xml><?xml version="1.0" encoding="utf-8"?>
<table xmlns="http://schemas.openxmlformats.org/spreadsheetml/2006/main" id="11" name="tblCostofSales12" displayName="tblCostofSales12" ref="B13:AD16" totalsRowCount="1" headerRowDxfId="166" dataDxfId="165" totalsRowDxfId="164">
  <tableColumns count="29">
    <tableColumn id="1" name="COST OF SALES" totalsRowLabel="TOTAL COST OF SALES" dataDxfId="163" totalsRowDxfId="57"/>
    <tableColumn id="2" name="TREND" dataDxfId="162" totalsRowDxfId="56"/>
    <tableColumn id="3" name="m1" totalsRowFunction="sum" dataDxfId="161" totalsRowDxfId="55" dataCellStyle="Currency"/>
    <tableColumn id="4" name="m2" totalsRowFunction="sum" dataDxfId="160" totalsRowDxfId="54" dataCellStyle="Currency"/>
    <tableColumn id="5" name="m3" totalsRowFunction="sum" dataDxfId="159" totalsRowDxfId="53" dataCellStyle="Currency"/>
    <tableColumn id="6" name="m4" totalsRowFunction="sum" dataDxfId="158" totalsRowDxfId="52" dataCellStyle="Currency"/>
    <tableColumn id="7" name="m5" totalsRowFunction="sum" dataDxfId="157" totalsRowDxfId="51" dataCellStyle="Currency"/>
    <tableColumn id="8" name="m6" totalsRowFunction="sum" dataDxfId="156" totalsRowDxfId="50" dataCellStyle="Currency"/>
    <tableColumn id="9" name="m7" totalsRowFunction="sum" dataDxfId="155" totalsRowDxfId="49" dataCellStyle="Currency"/>
    <tableColumn id="10" name="m8" totalsRowFunction="sum" dataDxfId="154" totalsRowDxfId="48" dataCellStyle="Currency"/>
    <tableColumn id="11" name="m9" totalsRowFunction="sum" dataDxfId="153" totalsRowDxfId="47" dataCellStyle="Currency"/>
    <tableColumn id="12" name="m10" totalsRowFunction="sum" dataDxfId="152" totalsRowDxfId="46" dataCellStyle="Currency"/>
    <tableColumn id="13" name="m11" totalsRowFunction="sum" dataDxfId="151" totalsRowDxfId="45" dataCellStyle="Currency"/>
    <tableColumn id="14" name="m12" totalsRowFunction="sum" dataDxfId="150" totalsRowDxfId="44" dataCellStyle="Currency"/>
    <tableColumn id="15" name="Yearly" totalsRowFunction="sum" dataDxfId="149" totalsRowDxfId="43" dataCellStyle="Currency">
      <calculatedColumnFormula>SUM(tblCostofSales12[[#This Row],[m1]:[m12]])</calculatedColumnFormula>
    </tableColumn>
    <tableColumn id="16" name="Ind %" totalsRowFunction="sum" dataDxfId="148" totalsRowDxfId="42"/>
    <tableColumn id="17" name="% m1" totalsRowFunction="sum" dataDxfId="147" totalsRowDxfId="41" dataCellStyle="Percent">
      <calculatedColumnFormula>IFERROR(tblCostofSales12[[#This Row],[m1]]/tblCostofSales12[[#Totals],[m1]],"-")</calculatedColumnFormula>
    </tableColumn>
    <tableColumn id="18" name="% m2" totalsRowFunction="sum" dataDxfId="146" totalsRowDxfId="40" dataCellStyle="Percent">
      <calculatedColumnFormula>IFERROR(tblCostofSales12[[#This Row],[m2]]/tblCostofSales12[[#Totals],[m2]],"-")</calculatedColumnFormula>
    </tableColumn>
    <tableColumn id="19" name="% m3" totalsRowFunction="sum" dataDxfId="145" totalsRowDxfId="39" dataCellStyle="Percent">
      <calculatedColumnFormula>IFERROR(tblCostofSales12[[#This Row],[m3]]/tblCostofSales12[[#Totals],[m3]],"-")</calculatedColumnFormula>
    </tableColumn>
    <tableColumn id="20" name="% m4" totalsRowFunction="sum" dataDxfId="144" totalsRowDxfId="38" dataCellStyle="Percent">
      <calculatedColumnFormula>IFERROR(tblCostofSales12[[#This Row],[m4]]/tblCostofSales12[[#Totals],[m4]],"-")</calculatedColumnFormula>
    </tableColumn>
    <tableColumn id="21" name="% m5" totalsRowFunction="sum" dataDxfId="143" totalsRowDxfId="37" dataCellStyle="Percent">
      <calculatedColumnFormula>IFERROR(tblCostofSales12[[#This Row],[m5]]/tblCostofSales12[[#Totals],[m5]],"-")</calculatedColumnFormula>
    </tableColumn>
    <tableColumn id="22" name="% m6" totalsRowFunction="sum" dataDxfId="142" totalsRowDxfId="36" dataCellStyle="Percent">
      <calculatedColumnFormula>IFERROR(tblCostofSales12[[#This Row],[m6]]/tblCostofSales12[[#Totals],[m6]],"-")</calculatedColumnFormula>
    </tableColumn>
    <tableColumn id="23" name="% m7" totalsRowFunction="sum" dataDxfId="141" totalsRowDxfId="35" dataCellStyle="Percent">
      <calculatedColumnFormula>IFERROR(tblCostofSales12[[#This Row],[m7]]/tblCostofSales12[[#Totals],[m7]],"-")</calculatedColumnFormula>
    </tableColumn>
    <tableColumn id="24" name="% m8" totalsRowFunction="sum" dataDxfId="140" totalsRowDxfId="34" dataCellStyle="Percent">
      <calculatedColumnFormula>IFERROR(tblCostofSales12[[#This Row],[m8]]/tblCostofSales12[[#Totals],[m8]],"-")</calculatedColumnFormula>
    </tableColumn>
    <tableColumn id="25" name="% m9" totalsRowFunction="sum" dataDxfId="139" totalsRowDxfId="33" dataCellStyle="Percent">
      <calculatedColumnFormula>IFERROR(tblCostofSales12[[#This Row],[m9]]/tblCostofSales12[[#Totals],[m9]],"-")</calculatedColumnFormula>
    </tableColumn>
    <tableColumn id="26" name="% m10" totalsRowFunction="sum" dataDxfId="138" totalsRowDxfId="32" dataCellStyle="Percent">
      <calculatedColumnFormula>IFERROR(tblCostofSales12[[#This Row],[m10]]/tblCostofSales12[[#Totals],[m10]],"-")</calculatedColumnFormula>
    </tableColumn>
    <tableColumn id="27" name="% m11" totalsRowFunction="sum" dataDxfId="137" totalsRowDxfId="31" dataCellStyle="Percent">
      <calculatedColumnFormula>IFERROR(tblCostofSales12[[#This Row],[m11]]/tblCostofSales12[[#Totals],[m11]],"-")</calculatedColumnFormula>
    </tableColumn>
    <tableColumn id="28" name="% m12" totalsRowFunction="sum" dataDxfId="136" totalsRowDxfId="30" dataCellStyle="Percent">
      <calculatedColumnFormula>IFERROR(tblCostofSales12[[#This Row],[m12]]/tblCostofSales12[[#Totals],[m12]],"-")</calculatedColumnFormula>
    </tableColumn>
    <tableColumn id="29" name="% y" totalsRowFunction="sum" dataDxfId="135" totalsRowDxfId="29" dataCellStyle="Percent">
      <calculatedColumnFormula>IFERROR(tblCostofSales12[[#This Row],[Yearly]]/tblCostofSales12[[#Totals],[Yearly]],"-")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 of Sales" altTextSummary="Summary of cost of sales, yearly total, and monthly percentages for each type of cost item."/>
    </ext>
  </extLst>
</table>
</file>

<file path=xl/tables/table6.xml><?xml version="1.0" encoding="utf-8"?>
<table xmlns="http://schemas.openxmlformats.org/spreadsheetml/2006/main" id="12" name="tblExpenses13" displayName="tblExpenses13" ref="B20:AD25" totalsRowCount="1" headerRowDxfId="134" dataDxfId="133" totalsRowDxfId="132">
  <tableColumns count="29">
    <tableColumn id="1" name="EXPENSES" totalsRowLabel="TOTAL EXPENSES" dataDxfId="131" totalsRowDxfId="28"/>
    <tableColumn id="2" name="TREND" totalsRowLabel=" " dataDxfId="130" totalsRowDxfId="27"/>
    <tableColumn id="3" name="m1" totalsRowFunction="sum" totalsRowDxfId="26" dataCellStyle="Currency"/>
    <tableColumn id="4" name="m2" totalsRowFunction="sum" totalsRowDxfId="25" dataCellStyle="Currency"/>
    <tableColumn id="5" name="m3" totalsRowFunction="sum" totalsRowDxfId="24" dataCellStyle="Currency"/>
    <tableColumn id="6" name="m4" totalsRowFunction="sum" totalsRowDxfId="23" dataCellStyle="Currency"/>
    <tableColumn id="7" name="m5" totalsRowFunction="sum" totalsRowDxfId="22" dataCellStyle="Currency"/>
    <tableColumn id="8" name="m6" totalsRowFunction="sum" totalsRowDxfId="21" dataCellStyle="Currency"/>
    <tableColumn id="9" name="m7" totalsRowFunction="sum" totalsRowDxfId="20" dataCellStyle="Currency"/>
    <tableColumn id="10" name="m8" totalsRowFunction="sum" totalsRowDxfId="19" dataCellStyle="Currency"/>
    <tableColumn id="11" name="m9" totalsRowFunction="sum" totalsRowDxfId="18" dataCellStyle="Currency"/>
    <tableColumn id="12" name="m10" totalsRowFunction="sum" totalsRowDxfId="17" dataCellStyle="Currency"/>
    <tableColumn id="13" name="m11" totalsRowFunction="sum" totalsRowDxfId="16" dataCellStyle="Currency"/>
    <tableColumn id="14" name="m12" totalsRowFunction="sum" totalsRowDxfId="15" dataCellStyle="Currency"/>
    <tableColumn id="15" name="Yearly" totalsRowFunction="sum" totalsRowDxfId="14" dataCellStyle="Currency">
      <calculatedColumnFormula>SUM(tblExpenses13[[#This Row],[m1]:[m12]])</calculatedColumnFormula>
    </tableColumn>
    <tableColumn id="16" name="Ind %" totalsRowFunction="sum" dataDxfId="129" totalsRowDxfId="13"/>
    <tableColumn id="17" name="% m1" totalsRowFunction="sum" dataDxfId="128" totalsRowDxfId="12" dataCellStyle="Percent">
      <calculatedColumnFormula>tblExpenses13[[#This Row],[m1]]/tblExpenses13[[#Totals],[m1]]</calculatedColumnFormula>
    </tableColumn>
    <tableColumn id="18" name="% m2" totalsRowFunction="sum" dataDxfId="127" totalsRowDxfId="11" dataCellStyle="Percent">
      <calculatedColumnFormula>tblExpenses13[[#This Row],[m2]]/tblExpenses13[[#Totals],[m2]]</calculatedColumnFormula>
    </tableColumn>
    <tableColumn id="19" name="% m3" totalsRowFunction="sum" dataDxfId="126" totalsRowDxfId="10" dataCellStyle="Percent">
      <calculatedColumnFormula>tblExpenses13[[#This Row],[m3]]/tblExpenses13[[#Totals],[m3]]</calculatedColumnFormula>
    </tableColumn>
    <tableColumn id="20" name="% m4" totalsRowFunction="sum" dataDxfId="125" totalsRowDxfId="9" dataCellStyle="Percent">
      <calculatedColumnFormula>tblExpenses13[[#This Row],[m4]]/tblExpenses13[[#Totals],[m4]]</calculatedColumnFormula>
    </tableColumn>
    <tableColumn id="21" name="% m5" totalsRowFunction="sum" dataDxfId="124" totalsRowDxfId="8" dataCellStyle="Percent">
      <calculatedColumnFormula>tblExpenses13[[#This Row],[m5]]/tblExpenses13[[#Totals],[m5]]</calculatedColumnFormula>
    </tableColumn>
    <tableColumn id="22" name="% m6" totalsRowFunction="sum" dataDxfId="123" totalsRowDxfId="7" dataCellStyle="Percent">
      <calculatedColumnFormula>tblExpenses13[[#This Row],[m6]]/tblExpenses13[[#Totals],[m6]]</calculatedColumnFormula>
    </tableColumn>
    <tableColumn id="23" name="% m7" totalsRowFunction="sum" dataDxfId="122" totalsRowDxfId="6" dataCellStyle="Percent">
      <calculatedColumnFormula>tblExpenses13[[#This Row],[m7]]/tblExpenses13[[#Totals],[m7]]</calculatedColumnFormula>
    </tableColumn>
    <tableColumn id="24" name="% m8" totalsRowFunction="sum" dataDxfId="121" totalsRowDxfId="5" dataCellStyle="Percent">
      <calculatedColumnFormula>tblExpenses13[[#This Row],[m8]]/tblExpenses13[[#Totals],[m8]]</calculatedColumnFormula>
    </tableColumn>
    <tableColumn id="25" name="% m9" totalsRowFunction="sum" dataDxfId="120" totalsRowDxfId="4" dataCellStyle="Percent">
      <calculatedColumnFormula>tblExpenses13[[#This Row],[m9]]/tblExpenses13[[#Totals],[m9]]</calculatedColumnFormula>
    </tableColumn>
    <tableColumn id="26" name="% m10" totalsRowFunction="sum" dataDxfId="119" totalsRowDxfId="3" dataCellStyle="Percent">
      <calculatedColumnFormula>tblExpenses13[[#This Row],[m10]]/tblExpenses13[[#Totals],[m10]]</calculatedColumnFormula>
    </tableColumn>
    <tableColumn id="27" name="% m11" totalsRowFunction="sum" dataDxfId="118" totalsRowDxfId="2" dataCellStyle="Percent">
      <calculatedColumnFormula>tblExpenses13[[#This Row],[m11]]/tblExpenses13[[#Totals],[m11]]</calculatedColumnFormula>
    </tableColumn>
    <tableColumn id="28" name="% m12" totalsRowFunction="sum" dataDxfId="117" totalsRowDxfId="1" dataCellStyle="Percent">
      <calculatedColumnFormula>tblExpenses13[[#This Row],[m12]]/tblExpenses13[[#Totals],[m12]]</calculatedColumnFormula>
    </tableColumn>
    <tableColumn id="29" name="% y" totalsRowFunction="sum" dataDxfId="116" totalsRowDxfId="0" dataCellStyle="Percent">
      <calculatedColumnFormula>tblExpenses13[[#This Row],[Yearly]]/tblExpenses13[[#Totals],[Yearly]]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Expenses" altTextSummary="Summary of expenses, yearly total, and monthly percentages for each type of expense item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AD27"/>
  <sheetViews>
    <sheetView showGridLines="0" zoomScale="90" zoomScaleNormal="90" workbookViewId="0">
      <pane ySplit="4" topLeftCell="A8" activePane="bottomLeft" state="frozen"/>
      <selection pane="bottomLeft" activeCell="D22" sqref="D22:O22"/>
    </sheetView>
  </sheetViews>
  <sheetFormatPr defaultRowHeight="18" customHeight="1" x14ac:dyDescent="0.25"/>
  <cols>
    <col min="1" max="1" width="1.109375" customWidth="1"/>
    <col min="2" max="2" width="24.6640625" customWidth="1"/>
    <col min="3" max="3" width="12.5546875" customWidth="1"/>
    <col min="4" max="15" width="9.109375" customWidth="1"/>
    <col min="16" max="16" width="10" customWidth="1"/>
    <col min="17" max="29" width="7.88671875" customWidth="1"/>
    <col min="30" max="30" width="10" customWidth="1"/>
  </cols>
  <sheetData>
    <row r="1" spans="1:30" ht="33.75" customHeight="1" x14ac:dyDescent="0.25">
      <c r="A1" s="42"/>
      <c r="B1" s="36" t="s">
        <v>31</v>
      </c>
      <c r="C1" s="35"/>
      <c r="J1" s="1"/>
      <c r="P1" s="76" t="s">
        <v>33</v>
      </c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39.75" customHeight="1" x14ac:dyDescent="0.25">
      <c r="B2" s="28" t="s">
        <v>32</v>
      </c>
      <c r="E2" s="27"/>
      <c r="G2" s="27"/>
      <c r="K2" s="27"/>
      <c r="L2" s="27"/>
      <c r="M2" s="27"/>
      <c r="N2" s="27"/>
      <c r="O2" s="27"/>
      <c r="X2" s="34"/>
      <c r="Y2" s="34"/>
      <c r="Z2" s="34"/>
      <c r="AA2" s="34"/>
      <c r="AB2" s="37" t="s">
        <v>41</v>
      </c>
      <c r="AC2" s="37" t="s">
        <v>42</v>
      </c>
      <c r="AD2" s="38">
        <v>2015</v>
      </c>
    </row>
    <row r="4" spans="1:30" ht="18" customHeight="1" x14ac:dyDescent="0.25">
      <c r="D4" s="33" t="str">
        <f>UPPER(TEXT(DATE(FYStartYear,FYMonthNo,1),"mmm-yy"))</f>
        <v>JAN-15</v>
      </c>
      <c r="E4" s="33" t="str">
        <f>UPPER(TEXT(DATE(FYStartYear,FYMonthNo+1,1),"mmm-yy"))</f>
        <v>FEB-15</v>
      </c>
      <c r="F4" s="33" t="str">
        <f>UPPER(TEXT(DATE(FYStartYear,FYMonthNo+2,1),"mmm-yy"))</f>
        <v>MAR-15</v>
      </c>
      <c r="G4" s="33" t="str">
        <f>UPPER(TEXT(DATE(FYStartYear,FYMonthNo+3,1),"mmm-yy"))</f>
        <v>APR-15</v>
      </c>
      <c r="H4" s="33" t="str">
        <f>UPPER(TEXT(DATE(FYStartYear,FYMonthNo+4,1),"mmm-yy"))</f>
        <v>MAY-15</v>
      </c>
      <c r="I4" s="33" t="str">
        <f>UPPER(TEXT(DATE(FYStartYear,FYMonthNo+5,1),"mmm-yy"))</f>
        <v>JUN-15</v>
      </c>
      <c r="J4" s="33" t="str">
        <f>UPPER(TEXT(DATE(FYStartYear,FYMonthNo+6,1),"mmm-yy"))</f>
        <v>JUL-15</v>
      </c>
      <c r="K4" s="33" t="str">
        <f>UPPER(TEXT(DATE(FYStartYear,FYMonthNo+7,1),"mmm-yy"))</f>
        <v>AUG-15</v>
      </c>
      <c r="L4" s="33" t="str">
        <f>UPPER(TEXT(DATE(FYStartYear,FYMonthNo+8,1),"mmm-yy"))</f>
        <v>SEP-15</v>
      </c>
      <c r="M4" s="33" t="str">
        <f>UPPER(TEXT(DATE(FYStartYear,FYMonthNo+9,1),"mmm-yy"))</f>
        <v>OCT-15</v>
      </c>
      <c r="N4" s="33" t="str">
        <f>UPPER(TEXT(DATE(FYStartYear,FYMonthNo+10,1),"mmm-yy"))</f>
        <v>NOV-15</v>
      </c>
      <c r="O4" s="33" t="str">
        <f>UPPER(TEXT(DATE(FYStartYear,FYMonthNo+11,1),"mmm-yy"))</f>
        <v>DEC-15</v>
      </c>
      <c r="P4" s="7" t="s">
        <v>44</v>
      </c>
      <c r="Q4" s="7" t="s">
        <v>43</v>
      </c>
      <c r="R4" s="7" t="str">
        <f>LEFT(D4,1)&amp;" %"</f>
        <v>J %</v>
      </c>
      <c r="S4" s="7" t="str">
        <f t="shared" ref="S4:AC4" si="0">LEFT(E4,1)&amp;" %"</f>
        <v>F %</v>
      </c>
      <c r="T4" s="7" t="str">
        <f t="shared" si="0"/>
        <v>M %</v>
      </c>
      <c r="U4" s="7" t="str">
        <f t="shared" si="0"/>
        <v>A %</v>
      </c>
      <c r="V4" s="7" t="str">
        <f t="shared" si="0"/>
        <v>M %</v>
      </c>
      <c r="W4" s="7" t="str">
        <f t="shared" si="0"/>
        <v>J %</v>
      </c>
      <c r="X4" s="7" t="str">
        <f t="shared" si="0"/>
        <v>J %</v>
      </c>
      <c r="Y4" s="7" t="str">
        <f t="shared" si="0"/>
        <v>A %</v>
      </c>
      <c r="Z4" s="7" t="str">
        <f t="shared" si="0"/>
        <v>S %</v>
      </c>
      <c r="AA4" s="7" t="str">
        <f t="shared" si="0"/>
        <v>O %</v>
      </c>
      <c r="AB4" s="7" t="str">
        <f t="shared" si="0"/>
        <v>N %</v>
      </c>
      <c r="AC4" s="7" t="str">
        <f t="shared" si="0"/>
        <v>D %</v>
      </c>
      <c r="AD4" s="7" t="s">
        <v>45</v>
      </c>
    </row>
    <row r="5" spans="1:30" ht="6" customHeight="1" x14ac:dyDescent="0.3">
      <c r="B5" s="2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8" customHeight="1" x14ac:dyDescent="0.35">
      <c r="B6" s="29" t="s">
        <v>34</v>
      </c>
      <c r="C6" s="30" t="s">
        <v>35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26</v>
      </c>
      <c r="Q6" s="4" t="s">
        <v>24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  <c r="AC6" s="4" t="s">
        <v>23</v>
      </c>
      <c r="AD6" s="3" t="s">
        <v>25</v>
      </c>
    </row>
    <row r="7" spans="1:30" ht="18" customHeight="1" x14ac:dyDescent="0.25">
      <c r="B7" s="70" t="s">
        <v>46</v>
      </c>
      <c r="C7" s="21"/>
      <c r="D7" s="59">
        <v>69</v>
      </c>
      <c r="E7" s="59">
        <v>20.97</v>
      </c>
      <c r="F7" s="59">
        <v>41.94</v>
      </c>
      <c r="G7" s="59">
        <v>89.9</v>
      </c>
      <c r="H7" s="59">
        <v>107.88</v>
      </c>
      <c r="I7" s="59">
        <v>119</v>
      </c>
      <c r="J7" s="59">
        <v>143.84</v>
      </c>
      <c r="K7" s="59">
        <v>56</v>
      </c>
      <c r="L7" s="59">
        <v>175</v>
      </c>
      <c r="M7" s="59">
        <v>147</v>
      </c>
      <c r="N7" s="59">
        <v>182</v>
      </c>
      <c r="O7" s="59">
        <v>154</v>
      </c>
      <c r="P7" s="60">
        <f>SUM(tblRevenue[[#This Row],[m1]:[m12]])</f>
        <v>1306.53</v>
      </c>
      <c r="Q7" s="20">
        <v>0.12</v>
      </c>
      <c r="R7" s="50">
        <f>IFERROR(tblRevenue[[#This Row],[m1]]/tblRevenue[[#Totals],[m1]],"-")</f>
        <v>4.7964631297964633E-2</v>
      </c>
      <c r="S7" s="51">
        <f>IFERROR(tblRevenue[[#This Row],[m2]]/tblRevenue[[#Totals],[m2]],"-")</f>
        <v>1.6322368728303002E-2</v>
      </c>
      <c r="T7" s="51">
        <f>IFERROR(tblRevenue[[#This Row],[m3]]/tblRevenue[[#Totals],[m3]],"-")</f>
        <v>3.2357116405382053E-2</v>
      </c>
      <c r="U7" s="51">
        <f>IFERROR(tblRevenue[[#This Row],[m4]]/tblRevenue[[#Totals],[m4]],"-")</f>
        <v>8.2715345122646888E-2</v>
      </c>
      <c r="V7" s="51">
        <f>IFERROR(tblRevenue[[#This Row],[m5]]/tblRevenue[[#Totals],[m5]],"-")</f>
        <v>8.9239626761961469E-2</v>
      </c>
      <c r="W7" s="51">
        <f>IFERROR(tblRevenue[[#This Row],[m6]]/tblRevenue[[#Totals],[m6]],"-")</f>
        <v>0.11420345489443379</v>
      </c>
      <c r="X7" s="51">
        <f>IFERROR(tblRevenue[[#This Row],[m7]]/tblRevenue[[#Totals],[m7]],"-")</f>
        <v>0.24181292448389483</v>
      </c>
      <c r="Y7" s="51">
        <f>IFERROR(tblRevenue[[#This Row],[m8]]/tblRevenue[[#Totals],[m8]],"-")</f>
        <v>9.3959731543624164E-2</v>
      </c>
      <c r="Z7" s="51">
        <f>IFERROR(tblRevenue[[#This Row],[m9]]/tblRevenue[[#Totals],[m9]],"-")</f>
        <v>8.1833060556464818E-2</v>
      </c>
      <c r="AA7" s="51">
        <f>IFERROR(tblRevenue[[#This Row],[m10]]/tblRevenue[[#Totals],[m10]],"-")</f>
        <v>5.4667162513945704E-2</v>
      </c>
      <c r="AB7" s="51">
        <f>IFERROR(tblRevenue[[#This Row],[m11]]/tblRevenue[[#Totals],[m11]],"-")</f>
        <v>4.8423573234002926E-2</v>
      </c>
      <c r="AC7" s="51">
        <f>IFERROR(tblRevenue[[#This Row],[m12]]/tblRevenue[[#Totals],[m12]],"-")</f>
        <v>0.15555555555555556</v>
      </c>
      <c r="AD7" s="52">
        <f>IFERROR(tblRevenue[[#This Row],[Yearly]]/tblRevenue[[#Totals],[Yearly]],"-")</f>
        <v>7.208823198359747E-2</v>
      </c>
    </row>
    <row r="8" spans="1:30" ht="18" customHeight="1" x14ac:dyDescent="0.25">
      <c r="B8" s="70" t="s">
        <v>47</v>
      </c>
      <c r="C8" s="21"/>
      <c r="D8" s="59">
        <v>125.93</v>
      </c>
      <c r="E8" s="59">
        <v>69.930000000000007</v>
      </c>
      <c r="F8" s="59">
        <v>165.22</v>
      </c>
      <c r="G8" s="59">
        <v>329.96</v>
      </c>
      <c r="H8" s="59">
        <v>377</v>
      </c>
      <c r="I8" s="59">
        <v>156</v>
      </c>
      <c r="J8" s="59">
        <v>117</v>
      </c>
      <c r="K8" s="59">
        <v>195</v>
      </c>
      <c r="L8" s="59">
        <v>1170</v>
      </c>
      <c r="M8" s="59">
        <v>936</v>
      </c>
      <c r="N8" s="59">
        <v>1053</v>
      </c>
      <c r="O8" s="59">
        <v>156</v>
      </c>
      <c r="P8" s="60">
        <f>SUM(tblRevenue[[#This Row],[m1]:[m12]])</f>
        <v>4851.04</v>
      </c>
      <c r="Q8" s="20">
        <v>0.18</v>
      </c>
      <c r="R8" s="50">
        <f>IFERROR(tblRevenue[[#This Row],[m1]]/tblRevenue[[#Totals],[m1]],"-")</f>
        <v>8.7538927816705608E-2</v>
      </c>
      <c r="S8" s="51">
        <f>IFERROR(tblRevenue[[#This Row],[m2]]/tblRevenue[[#Totals],[m2]],"-")</f>
        <v>5.4431246789233625E-2</v>
      </c>
      <c r="T8" s="51">
        <f>IFERROR(tblRevenue[[#This Row],[m3]]/tblRevenue[[#Totals],[m3]],"-")</f>
        <v>0.12746883100851747</v>
      </c>
      <c r="U8" s="51">
        <f>IFERROR(tblRevenue[[#This Row],[m4]]/tblRevenue[[#Totals],[m4]],"-")</f>
        <v>0.30359015880610191</v>
      </c>
      <c r="V8" s="51">
        <f>IFERROR(tblRevenue[[#This Row],[m5]]/tblRevenue[[#Totals],[m5]],"-")</f>
        <v>0.31185891072728472</v>
      </c>
      <c r="W8" s="51">
        <f>IFERROR(tblRevenue[[#This Row],[m6]]/tblRevenue[[#Totals],[m6]],"-")</f>
        <v>0.14971209213051823</v>
      </c>
      <c r="X8" s="51">
        <f>IFERROR(tblRevenue[[#This Row],[m7]]/tblRevenue[[#Totals],[m7]],"-")</f>
        <v>0.1966915473068388</v>
      </c>
      <c r="Y8" s="51">
        <f>IFERROR(tblRevenue[[#This Row],[m8]]/tblRevenue[[#Totals],[m8]],"-")</f>
        <v>0.32718120805369127</v>
      </c>
      <c r="Z8" s="51">
        <f>IFERROR(tblRevenue[[#This Row],[m9]]/tblRevenue[[#Totals],[m9]],"-")</f>
        <v>0.54711246200607899</v>
      </c>
      <c r="AA8" s="51">
        <f>IFERROR(tblRevenue[[#This Row],[m10]]/tblRevenue[[#Totals],[m10]],"-")</f>
        <v>0.34808478988471553</v>
      </c>
      <c r="AB8" s="51">
        <f>IFERROR(tblRevenue[[#This Row],[m11]]/tblRevenue[[#Totals],[m11]],"-")</f>
        <v>0.28016495942530267</v>
      </c>
      <c r="AC8" s="51">
        <f>IFERROR(tblRevenue[[#This Row],[m12]]/tblRevenue[[#Totals],[m12]],"-")</f>
        <v>0.15757575757575756</v>
      </c>
      <c r="AD8" s="52">
        <f>IFERROR(tblRevenue[[#This Row],[Yearly]]/tblRevenue[[#Totals],[Yearly]],"-")</f>
        <v>0.26765776283874898</v>
      </c>
    </row>
    <row r="9" spans="1:30" ht="18" customHeight="1" x14ac:dyDescent="0.25">
      <c r="B9" s="70" t="s">
        <v>48</v>
      </c>
      <c r="C9" s="21"/>
      <c r="D9" s="59">
        <v>998.63</v>
      </c>
      <c r="E9" s="59">
        <v>861.84</v>
      </c>
      <c r="F9" s="59">
        <v>784</v>
      </c>
      <c r="G9" s="59">
        <v>588</v>
      </c>
      <c r="H9" s="59">
        <v>657</v>
      </c>
      <c r="I9" s="59">
        <v>657</v>
      </c>
      <c r="J9" s="59">
        <v>99</v>
      </c>
      <c r="K9" s="59">
        <v>345</v>
      </c>
      <c r="L9" s="59">
        <v>413</v>
      </c>
      <c r="M9" s="59">
        <v>813</v>
      </c>
      <c r="N9" s="59">
        <v>1786</v>
      </c>
      <c r="O9" s="59">
        <v>413</v>
      </c>
      <c r="P9" s="60">
        <f>SUM(tblRevenue[[#This Row],[m1]:[m12]])</f>
        <v>8415.4700000000012</v>
      </c>
      <c r="Q9" s="20">
        <v>0.19</v>
      </c>
      <c r="R9" s="50">
        <f>IFERROR(tblRevenue[[#This Row],[m1]]/tblRevenue[[#Totals],[m1]],"-")</f>
        <v>0.69418724279835398</v>
      </c>
      <c r="S9" s="51">
        <f>IFERROR(tblRevenue[[#This Row],[m2]]/tblRevenue[[#Totals],[m2]],"-")</f>
        <v>0.6708283388078522</v>
      </c>
      <c r="T9" s="51">
        <f>IFERROR(tblRevenue[[#This Row],[m3]]/tblRevenue[[#Totals],[m3]],"-")</f>
        <v>0.6048635970867795</v>
      </c>
      <c r="U9" s="51">
        <f>IFERROR(tblRevenue[[#This Row],[m4]]/tblRevenue[[#Totals],[m4]],"-")</f>
        <v>0.54100804151408644</v>
      </c>
      <c r="V9" s="51">
        <f>IFERROR(tblRevenue[[#This Row],[m5]]/tblRevenue[[#Totals],[m5]],"-")</f>
        <v>0.54347826086956519</v>
      </c>
      <c r="W9" s="51">
        <f>IFERROR(tblRevenue[[#This Row],[m6]]/tblRevenue[[#Totals],[m6]],"-")</f>
        <v>0.63051823416506714</v>
      </c>
      <c r="X9" s="51">
        <f>IFERROR(tblRevenue[[#This Row],[m7]]/tblRevenue[[#Totals],[m7]],"-")</f>
        <v>0.16643130925963284</v>
      </c>
      <c r="Y9" s="51">
        <f>IFERROR(tblRevenue[[#This Row],[m8]]/tblRevenue[[#Totals],[m8]],"-")</f>
        <v>0.57885906040268453</v>
      </c>
      <c r="Z9" s="51">
        <f>IFERROR(tblRevenue[[#This Row],[m9]]/tblRevenue[[#Totals],[m9]],"-")</f>
        <v>0.19312602291325695</v>
      </c>
      <c r="AA9" s="51">
        <f>IFERROR(tblRevenue[[#This Row],[m10]]/tblRevenue[[#Totals],[m10]],"-")</f>
        <v>0.30234287839345481</v>
      </c>
      <c r="AB9" s="51">
        <f>IFERROR(tblRevenue[[#This Row],[m11]]/tblRevenue[[#Totals],[m11]],"-")</f>
        <v>0.47518957030730347</v>
      </c>
      <c r="AC9" s="51">
        <f>IFERROR(tblRevenue[[#This Row],[m12]]/tblRevenue[[#Totals],[m12]],"-")</f>
        <v>0.41717171717171719</v>
      </c>
      <c r="AD9" s="52">
        <f>IFERROR(tblRevenue[[#This Row],[Yearly]]/tblRevenue[[#Totals],[Yearly]],"-")</f>
        <v>0.46432638639067231</v>
      </c>
    </row>
    <row r="10" spans="1:30" ht="18" customHeight="1" x14ac:dyDescent="0.25">
      <c r="B10" s="70" t="s">
        <v>49</v>
      </c>
      <c r="C10" s="21"/>
      <c r="D10" s="59">
        <v>245</v>
      </c>
      <c r="E10" s="59">
        <v>332</v>
      </c>
      <c r="F10" s="59">
        <v>305</v>
      </c>
      <c r="G10" s="59">
        <v>79</v>
      </c>
      <c r="H10" s="59">
        <v>67</v>
      </c>
      <c r="I10" s="59">
        <v>110</v>
      </c>
      <c r="J10" s="59">
        <v>235</v>
      </c>
      <c r="K10" s="59">
        <v>0</v>
      </c>
      <c r="L10" s="59">
        <v>380.5</v>
      </c>
      <c r="M10" s="59">
        <v>793</v>
      </c>
      <c r="N10" s="59">
        <v>737.5</v>
      </c>
      <c r="O10" s="59">
        <v>267</v>
      </c>
      <c r="P10" s="60">
        <f>SUM(tblRevenue[[#This Row],[m1]:[m12]])</f>
        <v>3551</v>
      </c>
      <c r="Q10" s="20">
        <v>0.11</v>
      </c>
      <c r="R10" s="50">
        <f>IFERROR(tblRevenue[[#This Row],[m1]]/tblRevenue[[#Totals],[m1]],"-")</f>
        <v>0.17030919808697587</v>
      </c>
      <c r="S10" s="51">
        <f>IFERROR(tblRevenue[[#This Row],[m2]]/tblRevenue[[#Totals],[m2]],"-")</f>
        <v>0.25841804567461119</v>
      </c>
      <c r="T10" s="51">
        <f>IFERROR(tblRevenue[[#This Row],[m3]]/tblRevenue[[#Totals],[m3]],"-")</f>
        <v>0.23531045549932109</v>
      </c>
      <c r="U10" s="51">
        <f>IFERROR(tblRevenue[[#This Row],[m4]]/tblRevenue[[#Totals],[m4]],"-")</f>
        <v>7.2686454557164673E-2</v>
      </c>
      <c r="V10" s="51">
        <f>IFERROR(tblRevenue[[#This Row],[m5]]/tblRevenue[[#Totals],[m5]],"-")</f>
        <v>5.5423201641188531E-2</v>
      </c>
      <c r="W10" s="51">
        <f>IFERROR(tblRevenue[[#This Row],[m6]]/tblRevenue[[#Totals],[m6]],"-")</f>
        <v>0.10556621880998081</v>
      </c>
      <c r="X10" s="51">
        <f>IFERROR(tblRevenue[[#This Row],[m7]]/tblRevenue[[#Totals],[m7]],"-")</f>
        <v>0.39506421894963351</v>
      </c>
      <c r="Y10" s="51">
        <f>IFERROR(tblRevenue[[#This Row],[m8]]/tblRevenue[[#Totals],[m8]],"-")</f>
        <v>0</v>
      </c>
      <c r="Z10" s="51">
        <f>IFERROR(tblRevenue[[#This Row],[m9]]/tblRevenue[[#Totals],[m9]],"-")</f>
        <v>0.1779284545241992</v>
      </c>
      <c r="AA10" s="51">
        <f>IFERROR(tblRevenue[[#This Row],[m10]]/tblRevenue[[#Totals],[m10]],"-")</f>
        <v>0.29490516920788395</v>
      </c>
      <c r="AB10" s="51">
        <f>IFERROR(tblRevenue[[#This Row],[m11]]/tblRevenue[[#Totals],[m11]],"-")</f>
        <v>0.19622189703339099</v>
      </c>
      <c r="AC10" s="51">
        <f>IFERROR(tblRevenue[[#This Row],[m12]]/tblRevenue[[#Totals],[m12]],"-")</f>
        <v>0.26969696969696971</v>
      </c>
      <c r="AD10" s="52">
        <f>IFERROR(tblRevenue[[#This Row],[Yearly]]/tblRevenue[[#Totals],[Yearly]],"-")</f>
        <v>0.19592761878698126</v>
      </c>
    </row>
    <row r="11" spans="1:30" ht="18" customHeight="1" x14ac:dyDescent="0.25">
      <c r="B11" s="43" t="s">
        <v>36</v>
      </c>
      <c r="C11" s="44"/>
      <c r="D11" s="65">
        <f>SUBTOTAL(109,tblRevenue[m1])</f>
        <v>1438.56</v>
      </c>
      <c r="E11" s="65">
        <f>SUBTOTAL(109,tblRevenue[m2])</f>
        <v>1284.74</v>
      </c>
      <c r="F11" s="65">
        <f>SUBTOTAL(109,tblRevenue[m3])</f>
        <v>1296.1599999999999</v>
      </c>
      <c r="G11" s="65">
        <f>SUBTOTAL(109,tblRevenue[m4])</f>
        <v>1086.8600000000001</v>
      </c>
      <c r="H11" s="65">
        <f>SUBTOTAL(109,tblRevenue[m5])</f>
        <v>1208.8800000000001</v>
      </c>
      <c r="I11" s="65">
        <f>SUBTOTAL(109,tblRevenue[m6])</f>
        <v>1042</v>
      </c>
      <c r="J11" s="65">
        <f>SUBTOTAL(109,tblRevenue[m7])</f>
        <v>594.84</v>
      </c>
      <c r="K11" s="65">
        <f>SUBTOTAL(109,tblRevenue[m8])</f>
        <v>596</v>
      </c>
      <c r="L11" s="65">
        <f>SUBTOTAL(109,tblRevenue[m9])</f>
        <v>2138.5</v>
      </c>
      <c r="M11" s="65">
        <f>SUBTOTAL(109,tblRevenue[m10])</f>
        <v>2689</v>
      </c>
      <c r="N11" s="65">
        <f>SUBTOTAL(109,tblRevenue[m11])</f>
        <v>3758.5</v>
      </c>
      <c r="O11" s="65">
        <f>SUBTOTAL(109,tblRevenue[m12])</f>
        <v>990</v>
      </c>
      <c r="P11" s="66">
        <f>SUBTOTAL(109,tblRevenue[Yearly])</f>
        <v>18124.04</v>
      </c>
      <c r="Q11" s="45">
        <f>SUBTOTAL(109,tblRevenue[Ind %])</f>
        <v>0.6</v>
      </c>
      <c r="R11" s="45">
        <f>SUBTOTAL(109,tblRevenue[% m1])</f>
        <v>1</v>
      </c>
      <c r="S11" s="45">
        <f>SUBTOTAL(109,tblRevenue[% m2])</f>
        <v>1</v>
      </c>
      <c r="T11" s="45">
        <f>SUBTOTAL(109,tblRevenue[% m3])</f>
        <v>1.0000000000000002</v>
      </c>
      <c r="U11" s="45">
        <f>SUBTOTAL(109,tblRevenue[% m4])</f>
        <v>0.99999999999999989</v>
      </c>
      <c r="V11" s="45">
        <f>SUBTOTAL(109,tblRevenue[% m5])</f>
        <v>0.99999999999999989</v>
      </c>
      <c r="W11" s="45">
        <f>SUBTOTAL(109,tblRevenue[% m6])</f>
        <v>1</v>
      </c>
      <c r="X11" s="45">
        <f>SUBTOTAL(109,tblRevenue[% m7])</f>
        <v>0.99999999999999989</v>
      </c>
      <c r="Y11" s="45">
        <f>SUBTOTAL(109,tblRevenue[% m8])</f>
        <v>1</v>
      </c>
      <c r="Z11" s="45">
        <f>SUBTOTAL(109,tblRevenue[% m9])</f>
        <v>1</v>
      </c>
      <c r="AA11" s="45">
        <f>SUBTOTAL(109,tblRevenue[% m10])</f>
        <v>1</v>
      </c>
      <c r="AB11" s="45">
        <f>SUBTOTAL(109,tblRevenue[% m11])</f>
        <v>1</v>
      </c>
      <c r="AC11" s="45">
        <f>SUBTOTAL(109,tblRevenue[% m12])</f>
        <v>1</v>
      </c>
      <c r="AD11" s="53">
        <f>SUBTOTAL(109,tblRevenue[% y])</f>
        <v>1</v>
      </c>
    </row>
    <row r="12" spans="1:30" ht="18" customHeight="1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1:30" ht="18" customHeight="1" x14ac:dyDescent="0.35">
      <c r="B13" s="31" t="s">
        <v>37</v>
      </c>
      <c r="C13" s="32" t="s">
        <v>35</v>
      </c>
      <c r="D13" s="10" t="s">
        <v>0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9</v>
      </c>
      <c r="N13" s="10" t="s">
        <v>10</v>
      </c>
      <c r="O13" s="10" t="s">
        <v>11</v>
      </c>
      <c r="P13" s="10" t="s">
        <v>26</v>
      </c>
      <c r="Q13" s="11" t="s">
        <v>24</v>
      </c>
      <c r="R13" s="11" t="s">
        <v>12</v>
      </c>
      <c r="S13" s="11" t="s">
        <v>13</v>
      </c>
      <c r="T13" s="11" t="s">
        <v>14</v>
      </c>
      <c r="U13" s="11" t="s">
        <v>15</v>
      </c>
      <c r="V13" s="11" t="s">
        <v>16</v>
      </c>
      <c r="W13" s="11" t="s">
        <v>17</v>
      </c>
      <c r="X13" s="11" t="s">
        <v>18</v>
      </c>
      <c r="Y13" s="11" t="s">
        <v>19</v>
      </c>
      <c r="Z13" s="11" t="s">
        <v>20</v>
      </c>
      <c r="AA13" s="11" t="s">
        <v>21</v>
      </c>
      <c r="AB13" s="11" t="s">
        <v>22</v>
      </c>
      <c r="AC13" s="11" t="s">
        <v>23</v>
      </c>
      <c r="AD13" s="11" t="s">
        <v>25</v>
      </c>
    </row>
    <row r="14" spans="1:30" ht="18" customHeight="1" x14ac:dyDescent="0.25">
      <c r="B14" s="71" t="s">
        <v>50</v>
      </c>
      <c r="C14" s="22"/>
      <c r="D14" s="61">
        <v>94.65</v>
      </c>
      <c r="E14" s="61">
        <v>89.68</v>
      </c>
      <c r="F14" s="61">
        <v>85.62</v>
      </c>
      <c r="G14" s="61">
        <v>89.3</v>
      </c>
      <c r="H14" s="61">
        <v>94.71</v>
      </c>
      <c r="I14" s="61">
        <v>74.87</v>
      </c>
      <c r="J14" s="61">
        <v>55.55</v>
      </c>
      <c r="K14" s="61">
        <v>42.57</v>
      </c>
      <c r="L14" s="61">
        <v>48.42</v>
      </c>
      <c r="M14" s="61">
        <v>47.49</v>
      </c>
      <c r="N14" s="61">
        <v>47.25</v>
      </c>
      <c r="O14" s="61">
        <v>43.74</v>
      </c>
      <c r="P14" s="62">
        <f>SUM(tblCostofSales[[#This Row],[m1]:[m12]])</f>
        <v>813.85</v>
      </c>
      <c r="Q14" s="9">
        <v>0.12</v>
      </c>
      <c r="R14" s="54">
        <f>IFERROR(tblCostofSales[[#This Row],[m1]]/tblCostofSales[[#Totals],[m1]],"-")</f>
        <v>1</v>
      </c>
      <c r="S14" s="55">
        <f>IFERROR(tblCostofSales[[#This Row],[m2]]/tblCostofSales[[#Totals],[m2]],"-")</f>
        <v>1</v>
      </c>
      <c r="T14" s="55">
        <f>IFERROR(tblCostofSales[[#This Row],[m3]]/tblCostofSales[[#Totals],[m3]],"-")</f>
        <v>1</v>
      </c>
      <c r="U14" s="55">
        <f>IFERROR(tblCostofSales[[#This Row],[m4]]/tblCostofSales[[#Totals],[m4]],"-")</f>
        <v>1</v>
      </c>
      <c r="V14" s="55">
        <f>IFERROR(tblCostofSales[[#This Row],[m5]]/tblCostofSales[[#Totals],[m5]],"-")</f>
        <v>1</v>
      </c>
      <c r="W14" s="55">
        <f>IFERROR(tblCostofSales[[#This Row],[m6]]/tblCostofSales[[#Totals],[m6]],"-")</f>
        <v>1</v>
      </c>
      <c r="X14" s="55">
        <f>IFERROR(tblCostofSales[[#This Row],[m7]]/tblCostofSales[[#Totals],[m7]],"-")</f>
        <v>1</v>
      </c>
      <c r="Y14" s="55">
        <f>IFERROR(tblCostofSales[[#This Row],[m8]]/tblCostofSales[[#Totals],[m8]],"-")</f>
        <v>0.79303278688524592</v>
      </c>
      <c r="Z14" s="55">
        <f>IFERROR(tblCostofSales[[#This Row],[m9]]/tblCostofSales[[#Totals],[m9]],"-")</f>
        <v>0.62132683177210313</v>
      </c>
      <c r="AA14" s="55">
        <f>IFERROR(tblCostofSales[[#This Row],[m10]]/tblCostofSales[[#Totals],[m10]],"-")</f>
        <v>0.59526197041865125</v>
      </c>
      <c r="AB14" s="55">
        <f>IFERROR(tblCostofSales[[#This Row],[m11]]/tblCostofSales[[#Totals],[m11]],"-")</f>
        <v>0.39004457652303121</v>
      </c>
      <c r="AC14" s="55">
        <f>IFERROR(tblCostofSales[[#This Row],[m12]]/tblCostofSales[[#Totals],[m12]],"-")</f>
        <v>0.71260997067448684</v>
      </c>
      <c r="AD14" s="56">
        <f>IFERROR(tblCostofSales[[#This Row],[Yearly]]/tblCostofSales[[#Totals],[Yearly]],"-")</f>
        <v>0.83191078310112554</v>
      </c>
    </row>
    <row r="15" spans="1:30" ht="18" customHeight="1" x14ac:dyDescent="0.25">
      <c r="B15" s="71" t="s">
        <v>51</v>
      </c>
      <c r="C15" s="22"/>
      <c r="D15" s="73" t="s">
        <v>54</v>
      </c>
      <c r="E15" s="73" t="s">
        <v>54</v>
      </c>
      <c r="F15" s="73" t="s">
        <v>54</v>
      </c>
      <c r="G15" s="73" t="s">
        <v>54</v>
      </c>
      <c r="H15" s="73" t="s">
        <v>54</v>
      </c>
      <c r="I15" s="73" t="s">
        <v>54</v>
      </c>
      <c r="J15" s="73" t="s">
        <v>54</v>
      </c>
      <c r="K15" s="61">
        <v>11.11</v>
      </c>
      <c r="L15" s="61">
        <v>29.51</v>
      </c>
      <c r="M15" s="61">
        <v>32.29</v>
      </c>
      <c r="N15" s="61">
        <v>73.89</v>
      </c>
      <c r="O15" s="61">
        <v>17.64</v>
      </c>
      <c r="P15" s="62">
        <f>SUM(tblCostofSales[[#This Row],[m1]:[m12]])</f>
        <v>164.44</v>
      </c>
      <c r="Q15" s="9">
        <v>0.18</v>
      </c>
      <c r="R15" s="54" t="str">
        <f>IFERROR(tblCostofSales[[#This Row],[m1]]/tblCostofSales[[#Totals],[m1]],"-")</f>
        <v>-</v>
      </c>
      <c r="S15" s="55" t="str">
        <f>IFERROR(tblCostofSales[[#This Row],[m2]]/tblCostofSales[[#Totals],[m2]],"-")</f>
        <v>-</v>
      </c>
      <c r="T15" s="55" t="str">
        <f>IFERROR(tblCostofSales[[#This Row],[m3]]/tblCostofSales[[#Totals],[m3]],"-")</f>
        <v>-</v>
      </c>
      <c r="U15" s="55" t="str">
        <f>IFERROR(tblCostofSales[[#This Row],[m4]]/tblCostofSales[[#Totals],[m4]],"-")</f>
        <v>-</v>
      </c>
      <c r="V15" s="55" t="str">
        <f>IFERROR(tblCostofSales[[#This Row],[m5]]/tblCostofSales[[#Totals],[m5]],"-")</f>
        <v>-</v>
      </c>
      <c r="W15" s="55" t="str">
        <f>IFERROR(tblCostofSales[[#This Row],[m6]]/tblCostofSales[[#Totals],[m6]],"-")</f>
        <v>-</v>
      </c>
      <c r="X15" s="55" t="str">
        <f>IFERROR(tblCostofSales[[#This Row],[m7]]/tblCostofSales[[#Totals],[m7]],"-")</f>
        <v>-</v>
      </c>
      <c r="Y15" s="55">
        <f>IFERROR(tblCostofSales[[#This Row],[m8]]/tblCostofSales[[#Totals],[m8]],"-")</f>
        <v>0.20696721311475408</v>
      </c>
      <c r="Z15" s="55">
        <f>IFERROR(tblCostofSales[[#This Row],[m9]]/tblCostofSales[[#Totals],[m9]],"-")</f>
        <v>0.37867316822789682</v>
      </c>
      <c r="AA15" s="55">
        <f>IFERROR(tblCostofSales[[#This Row],[m10]]/tblCostofSales[[#Totals],[m10]],"-")</f>
        <v>0.40473802958134869</v>
      </c>
      <c r="AB15" s="55">
        <f>IFERROR(tblCostofSales[[#This Row],[m11]]/tblCostofSales[[#Totals],[m11]],"-")</f>
        <v>0.60995542347696885</v>
      </c>
      <c r="AC15" s="55">
        <f>IFERROR(tblCostofSales[[#This Row],[m12]]/tblCostofSales[[#Totals],[m12]],"-")</f>
        <v>0.28739002932551322</v>
      </c>
      <c r="AD15" s="56">
        <f>IFERROR(tblCostofSales[[#This Row],[Yearly]]/tblCostofSales[[#Totals],[Yearly]],"-")</f>
        <v>0.16808921689887457</v>
      </c>
    </row>
    <row r="16" spans="1:30" ht="18" customHeight="1" x14ac:dyDescent="0.25">
      <c r="B16" s="46" t="s">
        <v>38</v>
      </c>
      <c r="C16" s="47"/>
      <c r="D16" s="64">
        <f>SUBTOTAL(109,tblCostofSales[m1])</f>
        <v>94.65</v>
      </c>
      <c r="E16" s="64">
        <f>SUBTOTAL(109,tblCostofSales[m2])</f>
        <v>89.68</v>
      </c>
      <c r="F16" s="64">
        <f>SUBTOTAL(109,tblCostofSales[m3])</f>
        <v>85.62</v>
      </c>
      <c r="G16" s="64">
        <f>SUBTOTAL(109,tblCostofSales[m4])</f>
        <v>89.3</v>
      </c>
      <c r="H16" s="64">
        <f>SUBTOTAL(109,tblCostofSales[m5])</f>
        <v>94.71</v>
      </c>
      <c r="I16" s="64">
        <f>SUBTOTAL(109,tblCostofSales[m6])</f>
        <v>74.87</v>
      </c>
      <c r="J16" s="64">
        <f>SUBTOTAL(109,tblCostofSales[m7])</f>
        <v>55.55</v>
      </c>
      <c r="K16" s="64">
        <f>SUBTOTAL(109,tblCostofSales[m8])</f>
        <v>53.68</v>
      </c>
      <c r="L16" s="64">
        <f>SUBTOTAL(109,tblCostofSales[m9])</f>
        <v>77.930000000000007</v>
      </c>
      <c r="M16" s="64">
        <f>SUBTOTAL(109,tblCostofSales[m10])</f>
        <v>79.78</v>
      </c>
      <c r="N16" s="64">
        <f>SUBTOTAL(109,tblCostofSales[m11])</f>
        <v>121.14</v>
      </c>
      <c r="O16" s="64">
        <f>SUBTOTAL(109,tblCostofSales[m12])</f>
        <v>61.38</v>
      </c>
      <c r="P16" s="63">
        <f>SUBTOTAL(109,tblCostofSales[Yearly])</f>
        <v>978.29</v>
      </c>
      <c r="Q16" s="48">
        <f>SUBTOTAL(109,tblCostofSales[Ind %])</f>
        <v>0.3</v>
      </c>
      <c r="R16" s="57">
        <f>SUBTOTAL(109,tblCostofSales[% m1])</f>
        <v>1</v>
      </c>
      <c r="S16" s="57">
        <f>SUBTOTAL(109,tblCostofSales[% m2])</f>
        <v>1</v>
      </c>
      <c r="T16" s="57">
        <f>SUBTOTAL(109,tblCostofSales[% m3])</f>
        <v>1</v>
      </c>
      <c r="U16" s="57">
        <f>SUBTOTAL(109,tblCostofSales[% m4])</f>
        <v>1</v>
      </c>
      <c r="V16" s="57">
        <f>SUBTOTAL(109,tblCostofSales[% m5])</f>
        <v>1</v>
      </c>
      <c r="W16" s="57">
        <f>SUBTOTAL(109,tblCostofSales[% m6])</f>
        <v>1</v>
      </c>
      <c r="X16" s="57">
        <f>SUBTOTAL(109,tblCostofSales[% m7])</f>
        <v>1</v>
      </c>
      <c r="Y16" s="57">
        <f>SUBTOTAL(109,tblCostofSales[% m8])</f>
        <v>1</v>
      </c>
      <c r="Z16" s="57">
        <f>SUBTOTAL(109,tblCostofSales[% m9])</f>
        <v>1</v>
      </c>
      <c r="AA16" s="57">
        <f>SUBTOTAL(109,tblCostofSales[% m10])</f>
        <v>1</v>
      </c>
      <c r="AB16" s="57">
        <f>SUBTOTAL(109,tblCostofSales[% m11])</f>
        <v>1</v>
      </c>
      <c r="AC16" s="57">
        <f>SUBTOTAL(109,tblCostofSales[% m12])</f>
        <v>1</v>
      </c>
      <c r="AD16" s="57">
        <f>SUBTOTAL(109,tblCostofSales[% y])</f>
        <v>1</v>
      </c>
    </row>
    <row r="17" spans="1:30" ht="18" customHeight="1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18" customHeight="1" x14ac:dyDescent="0.25">
      <c r="B18" s="16" t="s">
        <v>27</v>
      </c>
      <c r="C18" s="12"/>
      <c r="D18" s="69">
        <f>tblRevenue[[#Totals],[m1]]-tblCostofSales[[#Totals],[m1]]</f>
        <v>1343.9099999999999</v>
      </c>
      <c r="E18" s="69">
        <f>tblRevenue[[#Totals],[m2]]-tblCostofSales[[#Totals],[m2]]</f>
        <v>1195.06</v>
      </c>
      <c r="F18" s="69">
        <f>tblRevenue[[#Totals],[m3]]-tblCostofSales[[#Totals],[m3]]</f>
        <v>1210.54</v>
      </c>
      <c r="G18" s="69">
        <f>tblRevenue[[#Totals],[m4]]-tblCostofSales[[#Totals],[m4]]</f>
        <v>997.56000000000017</v>
      </c>
      <c r="H18" s="69">
        <f>tblRevenue[[#Totals],[m5]]-tblCostofSales[[#Totals],[m5]]</f>
        <v>1114.17</v>
      </c>
      <c r="I18" s="69">
        <f>tblRevenue[[#Totals],[m6]]-tblCostofSales[[#Totals],[m6]]</f>
        <v>967.13</v>
      </c>
      <c r="J18" s="69">
        <f>tblRevenue[[#Totals],[m7]]-tblCostofSales[[#Totals],[m7]]</f>
        <v>539.29000000000008</v>
      </c>
      <c r="K18" s="69">
        <f>tblRevenue[[#Totals],[m8]]-tblCostofSales[[#Totals],[m8]]</f>
        <v>542.32000000000005</v>
      </c>
      <c r="L18" s="69">
        <f>tblRevenue[[#Totals],[m9]]-tblCostofSales[[#Totals],[m9]]</f>
        <v>2060.5700000000002</v>
      </c>
      <c r="M18" s="69">
        <f>tblRevenue[[#Totals],[m10]]-tblCostofSales[[#Totals],[m10]]</f>
        <v>2609.2199999999998</v>
      </c>
      <c r="N18" s="69">
        <f>tblRevenue[[#Totals],[m11]]-tblCostofSales[[#Totals],[m11]]</f>
        <v>3637.36</v>
      </c>
      <c r="O18" s="69">
        <f>tblRevenue[[#Totals],[m12]]-tblCostofSales[[#Totals],[m12]]</f>
        <v>928.62</v>
      </c>
      <c r="P18" s="69">
        <f>tblRevenue[[#Totals],[Yearly]]-tblCostofSales[[#Totals],[Yearly]]</f>
        <v>17145.75</v>
      </c>
      <c r="Q18" s="14"/>
      <c r="R18" s="15">
        <f>D18/$P$18</f>
        <v>7.8381523117973834E-2</v>
      </c>
      <c r="S18" s="15">
        <f t="shared" ref="S18:AD18" si="1">E18/$P$18</f>
        <v>6.9700071446276768E-2</v>
      </c>
      <c r="T18" s="15">
        <f t="shared" si="1"/>
        <v>7.0602919090736765E-2</v>
      </c>
      <c r="U18" s="15">
        <f t="shared" si="1"/>
        <v>5.8181181925550073E-2</v>
      </c>
      <c r="V18" s="15">
        <f t="shared" si="1"/>
        <v>6.4982284239534588E-2</v>
      </c>
      <c r="W18" s="15">
        <f t="shared" si="1"/>
        <v>5.6406398086989488E-2</v>
      </c>
      <c r="X18" s="15">
        <f t="shared" si="1"/>
        <v>3.1453275593077007E-2</v>
      </c>
      <c r="Y18" s="15">
        <f t="shared" si="1"/>
        <v>3.162999577154689E-2</v>
      </c>
      <c r="Z18" s="15">
        <f t="shared" si="1"/>
        <v>0.1201796363530321</v>
      </c>
      <c r="AA18" s="15">
        <f t="shared" si="1"/>
        <v>0.15217881982415465</v>
      </c>
      <c r="AB18" s="15">
        <f t="shared" si="1"/>
        <v>0.21214353411195194</v>
      </c>
      <c r="AC18" s="15">
        <f t="shared" si="1"/>
        <v>5.4160360439175888E-2</v>
      </c>
      <c r="AD18" s="15">
        <f t="shared" si="1"/>
        <v>1</v>
      </c>
    </row>
    <row r="20" spans="1:30" ht="18" customHeight="1" x14ac:dyDescent="0.35">
      <c r="B20" s="31" t="s">
        <v>39</v>
      </c>
      <c r="C20" s="32" t="s">
        <v>35</v>
      </c>
      <c r="D20" s="18" t="s">
        <v>0</v>
      </c>
      <c r="E20" s="18" t="s">
        <v>1</v>
      </c>
      <c r="F20" s="18" t="s">
        <v>2</v>
      </c>
      <c r="G20" s="18" t="s">
        <v>3</v>
      </c>
      <c r="H20" s="18" t="s">
        <v>4</v>
      </c>
      <c r="I20" s="18" t="s">
        <v>5</v>
      </c>
      <c r="J20" s="18" t="s">
        <v>6</v>
      </c>
      <c r="K20" s="18" t="s">
        <v>7</v>
      </c>
      <c r="L20" s="18" t="s">
        <v>8</v>
      </c>
      <c r="M20" s="18" t="s">
        <v>9</v>
      </c>
      <c r="N20" s="18" t="s">
        <v>10</v>
      </c>
      <c r="O20" s="18" t="s">
        <v>11</v>
      </c>
      <c r="P20" s="18" t="s">
        <v>26</v>
      </c>
      <c r="Q20" s="18" t="s">
        <v>24</v>
      </c>
      <c r="R20" s="18" t="s">
        <v>12</v>
      </c>
      <c r="S20" s="18" t="s">
        <v>13</v>
      </c>
      <c r="T20" s="18" t="s">
        <v>14</v>
      </c>
      <c r="U20" s="18" t="s">
        <v>15</v>
      </c>
      <c r="V20" s="18" t="s">
        <v>16</v>
      </c>
      <c r="W20" s="18" t="s">
        <v>17</v>
      </c>
      <c r="X20" s="18" t="s">
        <v>18</v>
      </c>
      <c r="Y20" s="18" t="s">
        <v>19</v>
      </c>
      <c r="Z20" s="18" t="s">
        <v>20</v>
      </c>
      <c r="AA20" s="18" t="s">
        <v>21</v>
      </c>
      <c r="AB20" s="18" t="s">
        <v>22</v>
      </c>
      <c r="AC20" s="18" t="s">
        <v>23</v>
      </c>
      <c r="AD20" s="18" t="s">
        <v>25</v>
      </c>
    </row>
    <row r="21" spans="1:30" ht="18" customHeight="1" x14ac:dyDescent="0.25">
      <c r="B21" s="72" t="s">
        <v>52</v>
      </c>
      <c r="C21" s="23" t="s">
        <v>30</v>
      </c>
      <c r="D21" s="67">
        <v>4.99</v>
      </c>
      <c r="E21" s="67">
        <v>4.99</v>
      </c>
      <c r="F21" s="67">
        <v>4.99</v>
      </c>
      <c r="G21" s="67">
        <v>4.99</v>
      </c>
      <c r="H21" s="67">
        <v>4.99</v>
      </c>
      <c r="I21" s="67">
        <v>4.99</v>
      </c>
      <c r="J21" s="67">
        <v>4.99</v>
      </c>
      <c r="K21" s="67">
        <v>4.99</v>
      </c>
      <c r="L21" s="67">
        <v>4.99</v>
      </c>
      <c r="M21" s="67">
        <v>4.99</v>
      </c>
      <c r="N21" s="67">
        <v>4.99</v>
      </c>
      <c r="O21" s="67">
        <v>4.99</v>
      </c>
      <c r="P21" s="68">
        <f>SUM(tblExpenses[[#This Row],[m1]:[m12]])</f>
        <v>59.880000000000017</v>
      </c>
      <c r="Q21" s="9">
        <v>0.12</v>
      </c>
      <c r="R21" s="39">
        <f>tblExpenses[[#This Row],[m1]]/tblExpenses[[#Totals],[m1]]</f>
        <v>0.10563082133784928</v>
      </c>
      <c r="S21" s="25">
        <f>tblExpenses[[#This Row],[m2]]/tblExpenses[[#Totals],[m2]]</f>
        <v>4.3300937174592151E-2</v>
      </c>
      <c r="T21" s="25">
        <f>tblExpenses[[#This Row],[m3]]/tblExpenses[[#Totals],[m3]]</f>
        <v>4.2352741470039049E-2</v>
      </c>
      <c r="U21" s="25">
        <f>tblExpenses[[#This Row],[m4]]/tblExpenses[[#Totals],[m4]]</f>
        <v>4.5805030291903803E-2</v>
      </c>
      <c r="V21" s="25">
        <f>tblExpenses[[#This Row],[m5]]/tblExpenses[[#Totals],[m5]]</f>
        <v>5.7009025476979322E-2</v>
      </c>
      <c r="W21" s="25">
        <f>tblExpenses[[#This Row],[m6]]/tblExpenses[[#Totals],[m6]]</f>
        <v>4.8744749438312009E-2</v>
      </c>
      <c r="X21" s="25">
        <f>tblExpenses[[#This Row],[m7]]/tblExpenses[[#Totals],[m7]]</f>
        <v>1.8502725351329304E-2</v>
      </c>
      <c r="Y21" s="25">
        <f>tblExpenses[[#This Row],[m8]]/tblExpenses[[#Totals],[m8]]</f>
        <v>3.4758985789913627E-2</v>
      </c>
      <c r="Z21" s="25">
        <f>tblExpenses[[#This Row],[m9]]/tblExpenses[[#Totals],[m9]]</f>
        <v>3.3328880577077211E-2</v>
      </c>
      <c r="AA21" s="25">
        <f>tblExpenses[[#This Row],[m10]]/tblExpenses[[#Totals],[m10]]</f>
        <v>0.1181344696969697</v>
      </c>
      <c r="AB21" s="25">
        <f>tblExpenses[[#This Row],[m11]]/tblExpenses[[#Totals],[m11]]</f>
        <v>1.4543864762459923E-2</v>
      </c>
      <c r="AC21" s="25">
        <f>tblExpenses[[#This Row],[m12]]/tblExpenses[[#Totals],[m12]]</f>
        <v>2.6124286686560912E-2</v>
      </c>
      <c r="AD21" s="26">
        <f>tblExpenses[[#This Row],[Yearly]]/tblExpenses[[#Totals],[Yearly]]</f>
        <v>3.4845152054746698E-2</v>
      </c>
    </row>
    <row r="22" spans="1:30" ht="18" customHeight="1" x14ac:dyDescent="0.25">
      <c r="B22" s="82" t="s">
        <v>56</v>
      </c>
      <c r="C22" s="78"/>
      <c r="D22" s="83">
        <v>13</v>
      </c>
      <c r="E22" s="83">
        <v>13</v>
      </c>
      <c r="F22" s="83">
        <v>13</v>
      </c>
      <c r="G22" s="83">
        <v>13</v>
      </c>
      <c r="H22" s="83">
        <v>13</v>
      </c>
      <c r="I22" s="83">
        <v>13</v>
      </c>
      <c r="J22" s="83">
        <v>13</v>
      </c>
      <c r="K22" s="83">
        <v>13</v>
      </c>
      <c r="L22" s="83">
        <v>13</v>
      </c>
      <c r="M22" s="83">
        <v>13</v>
      </c>
      <c r="N22" s="83">
        <v>13</v>
      </c>
      <c r="O22" s="83">
        <v>13</v>
      </c>
      <c r="P22" s="84">
        <f>SUM(tblExpenses[[#This Row],[m1]:[m12]])</f>
        <v>156</v>
      </c>
      <c r="Q22" s="85"/>
      <c r="R22" s="86">
        <f>tblExpenses[[#This Row],[m1]]/tblExpenses[[#Totals],[m1]]</f>
        <v>0.275190516511431</v>
      </c>
      <c r="S22" s="87">
        <f>tblExpenses[[#This Row],[m2]]/tblExpenses[[#Totals],[m2]]</f>
        <v>0.11280805275945852</v>
      </c>
      <c r="T22" s="87">
        <f>tblExpenses[[#This Row],[m3]]/tblExpenses[[#Totals],[m3]]</f>
        <v>0.11033780342895944</v>
      </c>
      <c r="U22" s="87">
        <f>tblExpenses[[#This Row],[m4]]/tblExpenses[[#Totals],[m4]]</f>
        <v>0.11933174224343676</v>
      </c>
      <c r="V22" s="87">
        <f>tblExpenses[[#This Row],[m5]]/tblExpenses[[#Totals],[m5]]</f>
        <v>0.14852050725465554</v>
      </c>
      <c r="W22" s="87">
        <f>tblExpenses[[#This Row],[m6]]/tblExpenses[[#Totals],[m6]]</f>
        <v>0.12699032919800723</v>
      </c>
      <c r="X22" s="87">
        <f>tblExpenses[[#This Row],[m7]]/tblExpenses[[#Totals],[m7]]</f>
        <v>4.8203492899254699E-2</v>
      </c>
      <c r="Y22" s="87">
        <f>tblExpenses[[#This Row],[m8]]/tblExpenses[[#Totals],[m8]]</f>
        <v>9.0554471997770961E-2</v>
      </c>
      <c r="Z22" s="87">
        <f>tblExpenses[[#This Row],[m9]]/tblExpenses[[#Totals],[m9]]</f>
        <v>8.6828746994389527E-2</v>
      </c>
      <c r="AA22" s="87">
        <f>tblExpenses[[#This Row],[m10]]/tblExpenses[[#Totals],[m10]]</f>
        <v>0.30776515151515149</v>
      </c>
      <c r="AB22" s="87">
        <f>tblExpenses[[#This Row],[m11]]/tblExpenses[[#Totals],[m11]]</f>
        <v>3.7889828038472746E-2</v>
      </c>
      <c r="AC22" s="87">
        <f>tblExpenses[[#This Row],[m12]]/tblExpenses[[#Totals],[m12]]</f>
        <v>6.8059263912884138E-2</v>
      </c>
      <c r="AD22" s="88">
        <f>tblExpenses[[#This Row],[Yearly]]/tblExpenses[[#Totals],[Yearly]]</f>
        <v>9.077895324883907E-2</v>
      </c>
    </row>
    <row r="23" spans="1:30" ht="18" customHeight="1" x14ac:dyDescent="0.25">
      <c r="B23" s="72" t="s">
        <v>53</v>
      </c>
      <c r="C23" s="23" t="s">
        <v>30</v>
      </c>
      <c r="D23" s="67">
        <v>8.25</v>
      </c>
      <c r="E23" s="67">
        <v>8.25</v>
      </c>
      <c r="F23" s="67">
        <v>8.25</v>
      </c>
      <c r="G23" s="67">
        <v>8.25</v>
      </c>
      <c r="H23" s="67">
        <v>8.25</v>
      </c>
      <c r="I23" s="67">
        <v>8.25</v>
      </c>
      <c r="J23" s="67">
        <v>8.25</v>
      </c>
      <c r="K23" s="67">
        <v>8.25</v>
      </c>
      <c r="L23" s="67">
        <v>8.25</v>
      </c>
      <c r="M23" s="67">
        <v>8.25</v>
      </c>
      <c r="N23" s="67">
        <v>8.25</v>
      </c>
      <c r="O23" s="67">
        <v>8.25</v>
      </c>
      <c r="P23" s="68">
        <f>SUM(tblExpenses[[#This Row],[m1]:[m12]])</f>
        <v>99</v>
      </c>
      <c r="Q23" s="9">
        <v>0.09</v>
      </c>
      <c r="R23" s="39">
        <f>tblExpenses[[#This Row],[m1]]/tblExpenses[[#Totals],[m1]]</f>
        <v>0.17464013547840812</v>
      </c>
      <c r="S23" s="25">
        <f>tblExpenses[[#This Row],[m2]]/tblExpenses[[#Totals],[m2]]</f>
        <v>7.1589725789656361E-2</v>
      </c>
      <c r="T23" s="25">
        <f>tblExpenses[[#This Row],[m3]]/tblExpenses[[#Totals],[m3]]</f>
        <v>7.0022067560685797E-2</v>
      </c>
      <c r="U23" s="25">
        <f>tblExpenses[[#This Row],[m4]]/tblExpenses[[#Totals],[m4]]</f>
        <v>7.5729759500642563E-2</v>
      </c>
      <c r="V23" s="25">
        <f>tblExpenses[[#This Row],[m5]]/tblExpenses[[#Totals],[m5]]</f>
        <v>9.4253398834685254E-2</v>
      </c>
      <c r="W23" s="25">
        <f>tblExpenses[[#This Row],[m6]]/tblExpenses[[#Totals],[m6]]</f>
        <v>8.0590016606427659E-2</v>
      </c>
      <c r="X23" s="25">
        <f>tblExpenses[[#This Row],[m7]]/tblExpenses[[#Totals],[m7]]</f>
        <v>3.0590678186065482E-2</v>
      </c>
      <c r="Y23" s="25">
        <f>tblExpenses[[#This Row],[m8]]/tblExpenses[[#Totals],[m8]]</f>
        <v>5.7467261075508494E-2</v>
      </c>
      <c r="Z23" s="25">
        <f>tblExpenses[[#This Row],[m9]]/tblExpenses[[#Totals],[m9]]</f>
        <v>5.5102858669516433E-2</v>
      </c>
      <c r="AA23" s="25">
        <f>tblExpenses[[#This Row],[m10]]/tblExpenses[[#Totals],[m10]]</f>
        <v>0.1953125</v>
      </c>
      <c r="AB23" s="25">
        <f>tblExpenses[[#This Row],[m11]]/tblExpenses[[#Totals],[m11]]</f>
        <v>2.4045467793646167E-2</v>
      </c>
      <c r="AC23" s="25">
        <f>tblExpenses[[#This Row],[m12]]/tblExpenses[[#Totals],[m12]]</f>
        <v>4.3191455944714935E-2</v>
      </c>
      <c r="AD23" s="26">
        <f>tblExpenses[[#This Row],[Yearly]]/tblExpenses[[#Totals],[Yearly]]</f>
        <v>5.7609720330994027E-2</v>
      </c>
    </row>
    <row r="24" spans="1:30" ht="18" customHeight="1" x14ac:dyDescent="0.25">
      <c r="A24" s="19"/>
      <c r="B24" s="17" t="s">
        <v>28</v>
      </c>
      <c r="C24" s="23" t="s">
        <v>30</v>
      </c>
      <c r="D24" s="67">
        <v>21</v>
      </c>
      <c r="E24" s="67">
        <v>89</v>
      </c>
      <c r="F24" s="67">
        <v>91.58</v>
      </c>
      <c r="G24" s="67">
        <v>82.7</v>
      </c>
      <c r="H24" s="67">
        <v>61.29</v>
      </c>
      <c r="I24" s="67">
        <v>76.13</v>
      </c>
      <c r="J24" s="67">
        <v>243.45</v>
      </c>
      <c r="K24" s="67">
        <v>117.32</v>
      </c>
      <c r="L24" s="67">
        <v>123.48</v>
      </c>
      <c r="M24" s="67">
        <v>16</v>
      </c>
      <c r="N24" s="67">
        <v>316.86</v>
      </c>
      <c r="O24" s="67">
        <v>164.77</v>
      </c>
      <c r="P24" s="68">
        <f>SUM(tblExpenses[[#This Row],[m1]:[m12]])</f>
        <v>1403.58</v>
      </c>
      <c r="Q24" s="9">
        <v>0.02</v>
      </c>
      <c r="R24" s="39">
        <f>tblExpenses[[#This Row],[m1]]/tblExpenses[[#Totals],[m1]]</f>
        <v>0.44453852667231158</v>
      </c>
      <c r="S24" s="40">
        <f>tblExpenses[[#This Row],[m2]]/tblExpenses[[#Totals],[m2]]</f>
        <v>0.77230128427629285</v>
      </c>
      <c r="T24" s="40">
        <f>tblExpenses[[#This Row],[m3]]/tblExpenses[[#Totals],[m3]]</f>
        <v>0.77728738754031579</v>
      </c>
      <c r="U24" s="40">
        <f>tblExpenses[[#This Row],[m4]]/tblExpenses[[#Totals],[m4]]</f>
        <v>0.75913346796401693</v>
      </c>
      <c r="V24" s="40">
        <f>tblExpenses[[#This Row],[m5]]/tblExpenses[[#Totals],[m5]]</f>
        <v>0.70021706843367981</v>
      </c>
      <c r="W24" s="40">
        <f>tblExpenses[[#This Row],[m6]]/tblExpenses[[#Totals],[m6]]</f>
        <v>0.74367490475725306</v>
      </c>
      <c r="X24" s="40">
        <f>tblExpenses[[#This Row],[m7]]/tblExpenses[[#Totals],[m7]]</f>
        <v>0.90270310356335048</v>
      </c>
      <c r="Y24" s="40">
        <f>tblExpenses[[#This Row],[m8]]/tblExpenses[[#Totals],[m8]]</f>
        <v>0.81721928113680686</v>
      </c>
      <c r="Z24" s="40">
        <f>tblExpenses[[#This Row],[m9]]/tblExpenses[[#Totals],[m9]]</f>
        <v>0.82473951375901688</v>
      </c>
      <c r="AA24" s="40">
        <f>tblExpenses[[#This Row],[m10]]/tblExpenses[[#Totals],[m10]]</f>
        <v>0.37878787878787878</v>
      </c>
      <c r="AB24" s="40">
        <f>tblExpenses[[#This Row],[m11]]/tblExpenses[[#Totals],[m11]]</f>
        <v>0.92352083940542118</v>
      </c>
      <c r="AC24" s="40">
        <f>tblExpenses[[#This Row],[m12]]/tblExpenses[[#Totals],[m12]]</f>
        <v>0.86262499345583998</v>
      </c>
      <c r="AD24" s="41">
        <f>tblExpenses[[#This Row],[Yearly]]/tblExpenses[[#Totals],[Yearly]]</f>
        <v>0.81676617436542009</v>
      </c>
    </row>
    <row r="25" spans="1:30" ht="18" customHeight="1" x14ac:dyDescent="0.25">
      <c r="B25" s="72" t="s">
        <v>40</v>
      </c>
      <c r="C25" s="74" t="s">
        <v>30</v>
      </c>
      <c r="D25" s="75">
        <f>SUBTOTAL(109,tblExpenses[m1])</f>
        <v>47.24</v>
      </c>
      <c r="E25" s="75">
        <f>SUBTOTAL(109,tblExpenses[m2])</f>
        <v>115.24000000000001</v>
      </c>
      <c r="F25" s="75">
        <f>SUBTOTAL(109,tblExpenses[m3])</f>
        <v>117.82</v>
      </c>
      <c r="G25" s="75">
        <f>SUBTOTAL(109,tblExpenses[m4])</f>
        <v>108.94</v>
      </c>
      <c r="H25" s="75">
        <f>SUBTOTAL(109,tblExpenses[m5])</f>
        <v>87.53</v>
      </c>
      <c r="I25" s="75">
        <f>SUBTOTAL(109,tblExpenses[m6])</f>
        <v>102.37</v>
      </c>
      <c r="J25" s="75">
        <f>SUBTOTAL(109,tblExpenses[m7])</f>
        <v>269.69</v>
      </c>
      <c r="K25" s="75">
        <f>SUBTOTAL(109,tblExpenses[m8])</f>
        <v>143.56</v>
      </c>
      <c r="L25" s="75">
        <f>SUBTOTAL(109,tblExpenses[m9])</f>
        <v>149.72</v>
      </c>
      <c r="M25" s="75">
        <f>SUBTOTAL(109,tblExpenses[m10])</f>
        <v>42.24</v>
      </c>
      <c r="N25" s="75">
        <f>SUBTOTAL(109,tblExpenses[m11])</f>
        <v>343.1</v>
      </c>
      <c r="O25" s="75">
        <f>SUBTOTAL(109,tblExpenses[m12])</f>
        <v>191.01000000000002</v>
      </c>
      <c r="P25" s="75">
        <f>SUBTOTAL(109,tblExpenses[Yearly])</f>
        <v>1718.46</v>
      </c>
      <c r="Q25" s="49">
        <f>SUBTOTAL(109,tblExpenses[Ind %])</f>
        <v>0.22999999999999998</v>
      </c>
      <c r="R25" s="49">
        <f>SUBTOTAL(109,tblExpenses[% m1])</f>
        <v>1</v>
      </c>
      <c r="S25" s="49">
        <f>SUBTOTAL(109,tblExpenses[% m2])</f>
        <v>0.99999999999999989</v>
      </c>
      <c r="T25" s="49">
        <f>SUBTOTAL(109,tblExpenses[% m3])</f>
        <v>1</v>
      </c>
      <c r="U25" s="49">
        <f>SUBTOTAL(109,tblExpenses[% m4])</f>
        <v>1</v>
      </c>
      <c r="V25" s="49">
        <f>SUBTOTAL(109,tblExpenses[% m5])</f>
        <v>1</v>
      </c>
      <c r="W25" s="49">
        <f>SUBTOTAL(109,tblExpenses[% m6])</f>
        <v>1</v>
      </c>
      <c r="X25" s="49">
        <f>SUBTOTAL(109,tblExpenses[% m7])</f>
        <v>1</v>
      </c>
      <c r="Y25" s="49">
        <f>SUBTOTAL(109,tblExpenses[% m8])</f>
        <v>1</v>
      </c>
      <c r="Z25" s="49">
        <f>SUBTOTAL(109,tblExpenses[% m9])</f>
        <v>1</v>
      </c>
      <c r="AA25" s="49">
        <f>SUBTOTAL(109,tblExpenses[% m10])</f>
        <v>1</v>
      </c>
      <c r="AB25" s="49">
        <f>SUBTOTAL(109,tblExpenses[% m11])</f>
        <v>1</v>
      </c>
      <c r="AC25" s="49">
        <f>SUBTOTAL(109,tblExpenses[% m12])</f>
        <v>1</v>
      </c>
      <c r="AD25" s="49">
        <f>SUBTOTAL(109,tblExpenses[% y])</f>
        <v>0.99999999999999989</v>
      </c>
    </row>
    <row r="26" spans="1:30" ht="18" customHeight="1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ht="18" customHeight="1" x14ac:dyDescent="0.25">
      <c r="B27" s="16" t="s">
        <v>29</v>
      </c>
      <c r="C27" s="12"/>
      <c r="D27" s="69">
        <f>D18-tblExpenses[[#Totals],[m1]]</f>
        <v>1296.6699999999998</v>
      </c>
      <c r="E27" s="69">
        <f>E18-tblExpenses[[#Totals],[m2]]</f>
        <v>1079.82</v>
      </c>
      <c r="F27" s="69">
        <f>F18-tblExpenses[[#Totals],[m3]]</f>
        <v>1092.72</v>
      </c>
      <c r="G27" s="69">
        <f>G18-tblExpenses[[#Totals],[m4]]</f>
        <v>888.62000000000012</v>
      </c>
      <c r="H27" s="69">
        <f>H18-tblExpenses[[#Totals],[m5]]</f>
        <v>1026.6400000000001</v>
      </c>
      <c r="I27" s="69">
        <f>I18-tblExpenses[[#Totals],[m6]]</f>
        <v>864.76</v>
      </c>
      <c r="J27" s="69">
        <f>J18-tblExpenses[[#Totals],[m7]]</f>
        <v>269.60000000000008</v>
      </c>
      <c r="K27" s="69">
        <f>K18-tblExpenses[[#Totals],[m8]]</f>
        <v>398.76000000000005</v>
      </c>
      <c r="L27" s="69">
        <f>L18-tblExpenses[[#Totals],[m9]]</f>
        <v>1910.8500000000001</v>
      </c>
      <c r="M27" s="69">
        <f>M18-tblExpenses[[#Totals],[m10]]</f>
        <v>2566.98</v>
      </c>
      <c r="N27" s="69">
        <f>N18-tblExpenses[[#Totals],[m11]]</f>
        <v>3294.26</v>
      </c>
      <c r="O27" s="69">
        <f>O18-tblExpenses[[#Totals],[m12]]</f>
        <v>737.61</v>
      </c>
      <c r="P27" s="69">
        <f>SUM(D27:O27)</f>
        <v>15427.29</v>
      </c>
      <c r="Q27" s="14"/>
      <c r="R27" s="15">
        <f>D27/$P$27</f>
        <v>8.4050406779155623E-2</v>
      </c>
      <c r="S27" s="15">
        <f t="shared" ref="S27:AD27" si="2">E27/$P$27</f>
        <v>6.9994146736076124E-2</v>
      </c>
      <c r="T27" s="15">
        <f t="shared" si="2"/>
        <v>7.0830327296628248E-2</v>
      </c>
      <c r="U27" s="15">
        <f t="shared" si="2"/>
        <v>5.7600524784326999E-2</v>
      </c>
      <c r="V27" s="15">
        <f t="shared" si="2"/>
        <v>6.6547008580249672E-2</v>
      </c>
      <c r="W27" s="15">
        <f t="shared" si="2"/>
        <v>5.6053914848298046E-2</v>
      </c>
      <c r="X27" s="15">
        <f t="shared" si="2"/>
        <v>1.7475525513554233E-2</v>
      </c>
      <c r="Y27" s="15">
        <f t="shared" si="2"/>
        <v>2.584770235083414E-2</v>
      </c>
      <c r="Z27" s="15">
        <f t="shared" si="2"/>
        <v>0.12386167628922513</v>
      </c>
      <c r="AA27" s="15">
        <f t="shared" si="2"/>
        <v>0.1663921531260513</v>
      </c>
      <c r="AB27" s="15">
        <f t="shared" si="2"/>
        <v>0.21353458708561257</v>
      </c>
      <c r="AC27" s="15">
        <f t="shared" si="2"/>
        <v>4.781202660998788E-2</v>
      </c>
      <c r="AD27" s="15">
        <f t="shared" si="2"/>
        <v>1</v>
      </c>
    </row>
  </sheetData>
  <mergeCells count="4">
    <mergeCell ref="P1:AD1"/>
    <mergeCell ref="B12:AD12"/>
    <mergeCell ref="B17:AD17"/>
    <mergeCell ref="B26:AD26"/>
  </mergeCells>
  <dataValidations count="2">
    <dataValidation type="list" errorStyle="information" allowBlank="1" showInputMessage="1" showErrorMessage="1" errorTitle="Unknown Month" error="Please select a month from the drop down list." sqref="AC2">
      <formula1>"JAN,FEB,MAR,APR,MAY,JUN,JUL,AUG,SEP,OCT,NOV,DEC"</formula1>
    </dataValidation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>
      <formula1>"2010,2011,2012,2013,2014,2015,2016,2017,2018,2019,2020"</formula1>
    </dataValidation>
  </dataValidations>
  <printOptions horizontalCentered="1"/>
  <pageMargins left="0.25" right="0.25" top="0.75" bottom="0.75" header="0.3" footer="0.3"/>
  <pageSetup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'2015'!$D$7:$O$7</xm:f>
              <xm:sqref>C7</xm:sqref>
            </x14:sparkline>
            <x14:sparkline>
              <xm:f>'2015'!$D$8:$O$8</xm:f>
              <xm:sqref>C8</xm:sqref>
            </x14:sparkline>
            <x14:sparkline>
              <xm:f>'2015'!$D$9:$O$9</xm:f>
              <xm:sqref>C9</xm:sqref>
            </x14:sparkline>
            <x14:sparkline>
              <xm:f>'2015'!$D$10:$O$10</xm:f>
              <xm:sqref>C10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'2015'!D25:O25</xm:f>
              <xm:sqref>C25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'2015'!D11:O11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'2015'!D16:O16</xm:f>
              <xm:sqref>C16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'2015'!D14:O14</xm:f>
              <xm:sqref>C14</xm:sqref>
            </x14:sparkline>
            <x14:sparkline>
              <xm:f>'2015'!D15:O15</xm:f>
              <xm:sqref>C15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'2015'!D21:O21</xm:f>
              <xm:sqref>C21</xm:sqref>
            </x14:sparkline>
            <x14:sparkline>
              <xm:f>'2015'!D22:O22</xm:f>
              <xm:sqref>C22</xm:sqref>
            </x14:sparkline>
            <x14:sparkline>
              <xm:f>'2015'!D23:O23</xm:f>
              <xm:sqref>C23</xm:sqref>
            </x14:sparkline>
            <x14:sparkline>
              <xm:f>'2015'!D24:O24</xm:f>
              <xm:sqref>C24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N25" sqref="N25"/>
    </sheetView>
  </sheetViews>
  <sheetFormatPr defaultRowHeight="18" customHeight="1" x14ac:dyDescent="0.25"/>
  <cols>
    <col min="1" max="1" width="1.109375" customWidth="1"/>
    <col min="2" max="2" width="24.6640625" customWidth="1"/>
    <col min="3" max="3" width="12.5546875" customWidth="1"/>
    <col min="4" max="10" width="9.88671875" bestFit="1" customWidth="1"/>
    <col min="11" max="11" width="9.109375" customWidth="1"/>
    <col min="12" max="14" width="9.88671875" bestFit="1" customWidth="1"/>
    <col min="15" max="15" width="9.109375" customWidth="1"/>
    <col min="16" max="16" width="11" bestFit="1" customWidth="1"/>
    <col min="17" max="29" width="7.88671875" customWidth="1"/>
    <col min="30" max="30" width="10" customWidth="1"/>
  </cols>
  <sheetData>
    <row r="1" spans="1:30" ht="33.75" customHeight="1" x14ac:dyDescent="0.25">
      <c r="A1" s="42"/>
      <c r="B1" s="36" t="s">
        <v>31</v>
      </c>
      <c r="C1" s="35"/>
      <c r="J1" s="58"/>
      <c r="P1" s="76" t="s">
        <v>33</v>
      </c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39.75" customHeight="1" x14ac:dyDescent="0.25">
      <c r="B2" s="28" t="s">
        <v>32</v>
      </c>
      <c r="E2" s="27"/>
      <c r="F2" s="79">
        <v>2016</v>
      </c>
      <c r="G2" s="27"/>
      <c r="K2" s="27"/>
      <c r="L2" s="27"/>
      <c r="M2" s="27"/>
      <c r="N2" s="27"/>
      <c r="O2" s="27"/>
      <c r="X2" s="34"/>
      <c r="Y2" s="34"/>
      <c r="Z2" s="34"/>
      <c r="AA2" s="34"/>
      <c r="AB2" s="37" t="s">
        <v>41</v>
      </c>
      <c r="AC2" s="37" t="s">
        <v>42</v>
      </c>
      <c r="AD2" s="38">
        <v>2016</v>
      </c>
    </row>
    <row r="3" spans="1:30" ht="18" customHeight="1" x14ac:dyDescent="0.25">
      <c r="D3" s="80">
        <v>42370</v>
      </c>
      <c r="E3" s="80">
        <v>42401</v>
      </c>
      <c r="F3" s="80">
        <v>42430</v>
      </c>
      <c r="G3" s="80">
        <v>42461</v>
      </c>
      <c r="H3" s="80">
        <v>42491</v>
      </c>
      <c r="I3" s="80">
        <v>42522</v>
      </c>
      <c r="J3" s="80">
        <v>42552</v>
      </c>
      <c r="K3" s="80">
        <v>42583</v>
      </c>
      <c r="L3" s="80">
        <v>42614</v>
      </c>
      <c r="M3" s="80">
        <v>42644</v>
      </c>
      <c r="N3" s="80">
        <v>42675</v>
      </c>
      <c r="O3" s="80">
        <v>42705</v>
      </c>
    </row>
    <row r="4" spans="1:30" ht="18" customHeight="1" x14ac:dyDescent="0.25">
      <c r="D4" s="81" t="str">
        <f>UPPER(TEXT(DATE(FYStartYear,FYMonthNo,1),"mmm-yy"))</f>
        <v>JAN-15</v>
      </c>
      <c r="E4" s="81" t="str">
        <f>UPPER(TEXT(DATE(FYStartYear,FYMonthNo+1,1),"mmm-yy"))</f>
        <v>FEB-15</v>
      </c>
      <c r="F4" s="81" t="str">
        <f>UPPER(TEXT(DATE(FYStartYear,FYMonthNo+2,1),"mmm-yy"))</f>
        <v>MAR-15</v>
      </c>
      <c r="G4" s="81" t="str">
        <f>UPPER(TEXT(DATE(FYStartYear,FYMonthNo+3,1),"mmm-yy"))</f>
        <v>APR-15</v>
      </c>
      <c r="H4" s="81" t="str">
        <f>UPPER(TEXT(DATE(FYStartYear,FYMonthNo+4,1),"mmm-yy"))</f>
        <v>MAY-15</v>
      </c>
      <c r="I4" s="81" t="str">
        <f>UPPER(TEXT(DATE(FYStartYear,FYMonthNo+5,1),"mmm-yy"))</f>
        <v>JUN-15</v>
      </c>
      <c r="J4" s="81" t="str">
        <f>UPPER(TEXT(DATE(FYStartYear,FYMonthNo+6,1),"mmm-yy"))</f>
        <v>JUL-15</v>
      </c>
      <c r="K4" s="81" t="str">
        <f>UPPER(TEXT(DATE(FYStartYear,FYMonthNo+7,1),"mmm-yy"))</f>
        <v>AUG-15</v>
      </c>
      <c r="L4" s="81" t="str">
        <f>UPPER(TEXT(DATE(FYStartYear,FYMonthNo+8,1),"mmm-yy"))</f>
        <v>SEP-15</v>
      </c>
      <c r="M4" s="81" t="str">
        <f>UPPER(TEXT(DATE(FYStartYear,FYMonthNo+9,1),"mmm-yy"))</f>
        <v>OCT-15</v>
      </c>
      <c r="N4" s="81" t="str">
        <f>UPPER(TEXT(DATE(FYStartYear,FYMonthNo+10,1),"mmm-yy"))</f>
        <v>NOV-15</v>
      </c>
      <c r="O4" s="81" t="str">
        <f>UPPER(TEXT(DATE(FYStartYear,FYMonthNo+11,1),"mmm-yy"))</f>
        <v>DEC-15</v>
      </c>
      <c r="P4" s="7" t="s">
        <v>44</v>
      </c>
      <c r="Q4" s="7" t="s">
        <v>43</v>
      </c>
      <c r="R4" s="7" t="str">
        <f>LEFT(D4,1)&amp;" %"</f>
        <v>J %</v>
      </c>
      <c r="S4" s="7" t="str">
        <f t="shared" ref="S4:AC4" si="0">LEFT(E4,1)&amp;" %"</f>
        <v>F %</v>
      </c>
      <c r="T4" s="7" t="str">
        <f t="shared" si="0"/>
        <v>M %</v>
      </c>
      <c r="U4" s="7" t="str">
        <f t="shared" si="0"/>
        <v>A %</v>
      </c>
      <c r="V4" s="7" t="str">
        <f t="shared" si="0"/>
        <v>M %</v>
      </c>
      <c r="W4" s="7" t="str">
        <f t="shared" si="0"/>
        <v>J %</v>
      </c>
      <c r="X4" s="7" t="str">
        <f t="shared" si="0"/>
        <v>J %</v>
      </c>
      <c r="Y4" s="7" t="str">
        <f t="shared" si="0"/>
        <v>A %</v>
      </c>
      <c r="Z4" s="7" t="str">
        <f t="shared" si="0"/>
        <v>S %</v>
      </c>
      <c r="AA4" s="7" t="str">
        <f t="shared" si="0"/>
        <v>O %</v>
      </c>
      <c r="AB4" s="7" t="str">
        <f t="shared" si="0"/>
        <v>N %</v>
      </c>
      <c r="AC4" s="7" t="str">
        <f t="shared" si="0"/>
        <v>D %</v>
      </c>
      <c r="AD4" s="7" t="s">
        <v>45</v>
      </c>
    </row>
    <row r="5" spans="1:30" ht="6" customHeight="1" x14ac:dyDescent="0.3">
      <c r="B5" s="2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8" customHeight="1" x14ac:dyDescent="0.35">
      <c r="B6" s="29" t="s">
        <v>34</v>
      </c>
      <c r="C6" s="30" t="s">
        <v>35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26</v>
      </c>
      <c r="Q6" s="4" t="s">
        <v>24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  <c r="AC6" s="4" t="s">
        <v>23</v>
      </c>
      <c r="AD6" s="3" t="s">
        <v>25</v>
      </c>
    </row>
    <row r="7" spans="1:30" ht="18" customHeight="1" x14ac:dyDescent="0.25">
      <c r="B7" s="70" t="s">
        <v>46</v>
      </c>
      <c r="C7" s="21"/>
      <c r="D7" s="59">
        <v>42</v>
      </c>
      <c r="E7" s="59">
        <v>91</v>
      </c>
      <c r="F7" s="59">
        <v>56</v>
      </c>
      <c r="G7" s="59">
        <v>63</v>
      </c>
      <c r="H7" s="59">
        <v>77</v>
      </c>
      <c r="I7" s="59">
        <v>70</v>
      </c>
      <c r="J7" s="59">
        <v>49</v>
      </c>
      <c r="K7" s="59">
        <v>0</v>
      </c>
      <c r="L7" s="59">
        <v>7</v>
      </c>
      <c r="M7" s="59">
        <v>28</v>
      </c>
      <c r="N7" s="59">
        <v>49</v>
      </c>
      <c r="O7" s="59"/>
      <c r="P7" s="60">
        <f>SUM(tblRevenue11[[#This Row],[m1]:[m12]])</f>
        <v>532</v>
      </c>
      <c r="Q7" s="20">
        <v>0.12</v>
      </c>
      <c r="R7" s="50">
        <f>IFERROR(tblRevenue11[[#This Row],[m1]]/tblRevenue11[[#Totals],[m1]],"-")</f>
        <v>1.3658536585365854E-2</v>
      </c>
      <c r="S7" s="51">
        <f>IFERROR(tblRevenue11[[#This Row],[m2]]/tblRevenue11[[#Totals],[m2]],"-")</f>
        <v>4.7643979057591622E-2</v>
      </c>
      <c r="T7" s="51">
        <f>IFERROR(tblRevenue11[[#This Row],[m3]]/tblRevenue11[[#Totals],[m3]],"-")</f>
        <v>2.4231934227607096E-2</v>
      </c>
      <c r="U7" s="51">
        <f>IFERROR(tblRevenue11[[#This Row],[m4]]/tblRevenue11[[#Totals],[m4]],"-")</f>
        <v>3.5633484162895926E-2</v>
      </c>
      <c r="V7" s="51">
        <f>IFERROR(tblRevenue11[[#This Row],[m5]]/tblRevenue11[[#Totals],[m5]],"-")</f>
        <v>5.2168021680216801E-2</v>
      </c>
      <c r="W7" s="51">
        <f>IFERROR(tblRevenue11[[#This Row],[m6]]/tblRevenue11[[#Totals],[m6]],"-")</f>
        <v>5.239520958083832E-2</v>
      </c>
      <c r="X7" s="51">
        <f>IFERROR(tblRevenue11[[#This Row],[m7]]/tblRevenue11[[#Totals],[m7]],"-")</f>
        <v>4.273877017008286E-2</v>
      </c>
      <c r="Y7" s="51">
        <f>IFERROR(tblRevenue11[[#This Row],[m8]]/tblRevenue11[[#Totals],[m8]],"-")</f>
        <v>0</v>
      </c>
      <c r="Z7" s="51">
        <f>IFERROR(tblRevenue11[[#This Row],[m9]]/tblRevenue11[[#Totals],[m9]],"-")</f>
        <v>5.0578034682080926E-3</v>
      </c>
      <c r="AA7" s="51">
        <f>IFERROR(tblRevenue11[[#This Row],[m10]]/tblRevenue11[[#Totals],[m10]],"-")</f>
        <v>1.7209588199139522E-2</v>
      </c>
      <c r="AB7" s="51">
        <f>IFERROR(tblRevenue11[[#This Row],[m11]]/tblRevenue11[[#Totals],[m11]],"-")</f>
        <v>2.4137931034482758E-2</v>
      </c>
      <c r="AC7" s="51" t="str">
        <f>IFERROR(tblRevenue11[[#This Row],[m12]]/tblRevenue11[[#Totals],[m12]],"-")</f>
        <v>-</v>
      </c>
      <c r="AD7" s="52">
        <f>IFERROR(tblRevenue11[[#This Row],[Yearly]]/tblRevenue11[[#Totals],[Yearly]],"-")</f>
        <v>2.9329878435372273E-2</v>
      </c>
    </row>
    <row r="8" spans="1:30" ht="18" customHeight="1" x14ac:dyDescent="0.25">
      <c r="B8" s="70" t="s">
        <v>47</v>
      </c>
      <c r="C8" s="21"/>
      <c r="D8" s="59">
        <v>1297</v>
      </c>
      <c r="E8" s="59">
        <v>702</v>
      </c>
      <c r="F8" s="59">
        <v>780</v>
      </c>
      <c r="G8" s="59">
        <v>858</v>
      </c>
      <c r="H8" s="59">
        <v>858</v>
      </c>
      <c r="I8" s="59">
        <v>585</v>
      </c>
      <c r="J8" s="59">
        <v>351</v>
      </c>
      <c r="K8" s="59">
        <v>0</v>
      </c>
      <c r="L8" s="59">
        <v>48</v>
      </c>
      <c r="M8" s="59">
        <v>16</v>
      </c>
      <c r="N8" s="59">
        <v>64</v>
      </c>
      <c r="O8" s="59"/>
      <c r="P8" s="60">
        <f>SUM(tblRevenue11[[#This Row],[m1]:[m12]])</f>
        <v>5559</v>
      </c>
      <c r="Q8" s="20">
        <v>0.18</v>
      </c>
      <c r="R8" s="50">
        <f>IFERROR(tblRevenue11[[#This Row],[m1]]/tblRevenue11[[#Totals],[m1]],"-")</f>
        <v>0.42178861788617888</v>
      </c>
      <c r="S8" s="51">
        <f>IFERROR(tblRevenue11[[#This Row],[m2]]/tblRevenue11[[#Totals],[m2]],"-")</f>
        <v>0.36753926701570683</v>
      </c>
      <c r="T8" s="51">
        <f>IFERROR(tblRevenue11[[#This Row],[m3]]/tblRevenue11[[#Totals],[m3]],"-")</f>
        <v>0.33751622674167026</v>
      </c>
      <c r="U8" s="51">
        <f>IFERROR(tblRevenue11[[#This Row],[m4]]/tblRevenue11[[#Totals],[m4]],"-")</f>
        <v>0.48529411764705882</v>
      </c>
      <c r="V8" s="51">
        <f>IFERROR(tblRevenue11[[#This Row],[m5]]/tblRevenue11[[#Totals],[m5]],"-")</f>
        <v>0.58130081300813008</v>
      </c>
      <c r="W8" s="51">
        <f>IFERROR(tblRevenue11[[#This Row],[m6]]/tblRevenue11[[#Totals],[m6]],"-")</f>
        <v>0.43787425149700598</v>
      </c>
      <c r="X8" s="51">
        <f>IFERROR(tblRevenue11[[#This Row],[m7]]/tblRevenue11[[#Totals],[m7]],"-")</f>
        <v>0.30614914958569561</v>
      </c>
      <c r="Y8" s="51">
        <f>IFERROR(tblRevenue11[[#This Row],[m8]]/tblRevenue11[[#Totals],[m8]],"-")</f>
        <v>0</v>
      </c>
      <c r="Z8" s="51">
        <f>IFERROR(tblRevenue11[[#This Row],[m9]]/tblRevenue11[[#Totals],[m9]],"-")</f>
        <v>3.4682080924855488E-2</v>
      </c>
      <c r="AA8" s="51">
        <f>IFERROR(tblRevenue11[[#This Row],[m10]]/tblRevenue11[[#Totals],[m10]],"-")</f>
        <v>9.8340503995082967E-3</v>
      </c>
      <c r="AB8" s="51">
        <f>IFERROR(tblRevenue11[[#This Row],[m11]]/tblRevenue11[[#Totals],[m11]],"-")</f>
        <v>3.1527093596059111E-2</v>
      </c>
      <c r="AC8" s="51" t="str">
        <f>IFERROR(tblRevenue11[[#This Row],[m12]]/tblRevenue11[[#Totals],[m12]],"-")</f>
        <v>-</v>
      </c>
      <c r="AD8" s="52">
        <f>IFERROR(tblRevenue11[[#This Row],[Yearly]]/tblRevenue11[[#Totals],[Yearly]],"-")</f>
        <v>0.30647517710946331</v>
      </c>
    </row>
    <row r="9" spans="1:30" ht="18" customHeight="1" x14ac:dyDescent="0.25">
      <c r="B9" s="70" t="s">
        <v>48</v>
      </c>
      <c r="C9" s="21"/>
      <c r="D9" s="59">
        <v>1142</v>
      </c>
      <c r="E9" s="59">
        <v>790</v>
      </c>
      <c r="F9" s="59">
        <v>821</v>
      </c>
      <c r="G9" s="59">
        <v>649</v>
      </c>
      <c r="H9" s="59">
        <v>472</v>
      </c>
      <c r="I9" s="59">
        <v>354</v>
      </c>
      <c r="J9" s="59">
        <v>423</v>
      </c>
      <c r="K9" s="59">
        <v>75</v>
      </c>
      <c r="L9" s="59">
        <v>1180</v>
      </c>
      <c r="M9" s="59">
        <v>1285</v>
      </c>
      <c r="N9" s="59">
        <v>1470</v>
      </c>
      <c r="O9" s="59"/>
      <c r="P9" s="60">
        <f>SUM(tblRevenue11[[#This Row],[m1]:[m12]])</f>
        <v>8661</v>
      </c>
      <c r="Q9" s="20">
        <v>0.19</v>
      </c>
      <c r="R9" s="50">
        <f>IFERROR(tblRevenue11[[#This Row],[m1]]/tblRevenue11[[#Totals],[m1]],"-")</f>
        <v>0.37138211382113823</v>
      </c>
      <c r="S9" s="51">
        <f>IFERROR(tblRevenue11[[#This Row],[m2]]/tblRevenue11[[#Totals],[m2]],"-")</f>
        <v>0.41361256544502617</v>
      </c>
      <c r="T9" s="51">
        <f>IFERROR(tblRevenue11[[#This Row],[m3]]/tblRevenue11[[#Totals],[m3]],"-")</f>
        <v>0.35525746430116834</v>
      </c>
      <c r="U9" s="51">
        <f>IFERROR(tblRevenue11[[#This Row],[m4]]/tblRevenue11[[#Totals],[m4]],"-")</f>
        <v>0.36708144796380088</v>
      </c>
      <c r="V9" s="51">
        <f>IFERROR(tblRevenue11[[#This Row],[m5]]/tblRevenue11[[#Totals],[m5]],"-")</f>
        <v>0.31978319783197834</v>
      </c>
      <c r="W9" s="51">
        <f>IFERROR(tblRevenue11[[#This Row],[m6]]/tblRevenue11[[#Totals],[m6]],"-")</f>
        <v>0.26497005988023953</v>
      </c>
      <c r="X9" s="51">
        <f>IFERROR(tblRevenue11[[#This Row],[m7]]/tblRevenue11[[#Totals],[m7]],"-")</f>
        <v>0.36894897514173569</v>
      </c>
      <c r="Y9" s="51">
        <f>IFERROR(tblRevenue11[[#This Row],[m8]]/tblRevenue11[[#Totals],[m8]],"-")</f>
        <v>1</v>
      </c>
      <c r="Z9" s="51">
        <f>IFERROR(tblRevenue11[[#This Row],[m9]]/tblRevenue11[[#Totals],[m9]],"-")</f>
        <v>0.85260115606936415</v>
      </c>
      <c r="AA9" s="51">
        <f>IFERROR(tblRevenue11[[#This Row],[m10]]/tblRevenue11[[#Totals],[m10]],"-")</f>
        <v>0.78979717271051009</v>
      </c>
      <c r="AB9" s="51">
        <f>IFERROR(tblRevenue11[[#This Row],[m11]]/tblRevenue11[[#Totals],[m11]],"-")</f>
        <v>0.72413793103448276</v>
      </c>
      <c r="AC9" s="51" t="str">
        <f>IFERROR(tblRevenue11[[#This Row],[m12]]/tblRevenue11[[#Totals],[m12]],"-")</f>
        <v>-</v>
      </c>
      <c r="AD9" s="52">
        <f>IFERROR(tblRevenue11[[#This Row],[Yearly]]/tblRevenue11[[#Totals],[Yearly]],"-")</f>
        <v>0.47749262618187832</v>
      </c>
    </row>
    <row r="10" spans="1:30" ht="18" customHeight="1" x14ac:dyDescent="0.25">
      <c r="B10" s="70" t="s">
        <v>49</v>
      </c>
      <c r="C10" s="21"/>
      <c r="D10" s="59">
        <v>594</v>
      </c>
      <c r="E10" s="59">
        <v>327</v>
      </c>
      <c r="F10" s="59">
        <v>654</v>
      </c>
      <c r="G10" s="59">
        <v>198</v>
      </c>
      <c r="H10" s="59">
        <v>69</v>
      </c>
      <c r="I10" s="59">
        <v>327</v>
      </c>
      <c r="J10" s="59">
        <v>323.5</v>
      </c>
      <c r="K10" s="59">
        <v>0</v>
      </c>
      <c r="L10" s="59">
        <v>149</v>
      </c>
      <c r="M10" s="59">
        <v>298</v>
      </c>
      <c r="N10" s="59">
        <v>447</v>
      </c>
      <c r="O10" s="59"/>
      <c r="P10" s="60">
        <f>SUM(tblRevenue11[[#This Row],[m1]:[m12]])</f>
        <v>3386.5</v>
      </c>
      <c r="Q10" s="20">
        <v>0.11</v>
      </c>
      <c r="R10" s="50">
        <f>IFERROR(tblRevenue11[[#This Row],[m1]]/tblRevenue11[[#Totals],[m1]],"-")</f>
        <v>0.19317073170731708</v>
      </c>
      <c r="S10" s="51">
        <f>IFERROR(tblRevenue11[[#This Row],[m2]]/tblRevenue11[[#Totals],[m2]],"-")</f>
        <v>0.1712041884816754</v>
      </c>
      <c r="T10" s="51">
        <f>IFERROR(tblRevenue11[[#This Row],[m3]]/tblRevenue11[[#Totals],[m3]],"-")</f>
        <v>0.2829943747295543</v>
      </c>
      <c r="U10" s="51">
        <f>IFERROR(tblRevenue11[[#This Row],[m4]]/tblRevenue11[[#Totals],[m4]],"-")</f>
        <v>0.11199095022624435</v>
      </c>
      <c r="V10" s="51">
        <f>IFERROR(tblRevenue11[[#This Row],[m5]]/tblRevenue11[[#Totals],[m5]],"-")</f>
        <v>4.6747967479674794E-2</v>
      </c>
      <c r="W10" s="51">
        <f>IFERROR(tblRevenue11[[#This Row],[m6]]/tblRevenue11[[#Totals],[m6]],"-")</f>
        <v>0.24476047904191617</v>
      </c>
      <c r="X10" s="51">
        <f>IFERROR(tblRevenue11[[#This Row],[m7]]/tblRevenue11[[#Totals],[m7]],"-")</f>
        <v>0.28216310510248582</v>
      </c>
      <c r="Y10" s="51">
        <f>IFERROR(tblRevenue11[[#This Row],[m8]]/tblRevenue11[[#Totals],[m8]],"-")</f>
        <v>0</v>
      </c>
      <c r="Z10" s="51">
        <f>IFERROR(tblRevenue11[[#This Row],[m9]]/tblRevenue11[[#Totals],[m9]],"-")</f>
        <v>0.10765895953757225</v>
      </c>
      <c r="AA10" s="51">
        <f>IFERROR(tblRevenue11[[#This Row],[m10]]/tblRevenue11[[#Totals],[m10]],"-")</f>
        <v>0.18315918869084205</v>
      </c>
      <c r="AB10" s="51">
        <f>IFERROR(tblRevenue11[[#This Row],[m11]]/tblRevenue11[[#Totals],[m11]],"-")</f>
        <v>0.22019704433497536</v>
      </c>
      <c r="AC10" s="51" t="str">
        <f>IFERROR(tblRevenue11[[#This Row],[m12]]/tblRevenue11[[#Totals],[m12]],"-")</f>
        <v>-</v>
      </c>
      <c r="AD10" s="52">
        <f>IFERROR(tblRevenue11[[#This Row],[Yearly]]/tblRevenue11[[#Totals],[Yearly]],"-")</f>
        <v>0.18670231827328609</v>
      </c>
    </row>
    <row r="11" spans="1:30" ht="18" customHeight="1" x14ac:dyDescent="0.25">
      <c r="B11" s="43" t="s">
        <v>36</v>
      </c>
      <c r="C11" s="44"/>
      <c r="D11" s="65">
        <f>SUBTOTAL(109,tblRevenue11[m1])</f>
        <v>3075</v>
      </c>
      <c r="E11" s="65">
        <f>SUBTOTAL(109,tblRevenue11[m2])</f>
        <v>1910</v>
      </c>
      <c r="F11" s="65">
        <f>SUBTOTAL(109,tblRevenue11[m3])</f>
        <v>2311</v>
      </c>
      <c r="G11" s="65">
        <f>SUBTOTAL(109,tblRevenue11[m4])</f>
        <v>1768</v>
      </c>
      <c r="H11" s="65">
        <f>SUBTOTAL(109,tblRevenue11[m5])</f>
        <v>1476</v>
      </c>
      <c r="I11" s="65">
        <f>SUBTOTAL(109,tblRevenue11[m6])</f>
        <v>1336</v>
      </c>
      <c r="J11" s="65">
        <f>SUBTOTAL(109,tblRevenue11[m7])</f>
        <v>1146.5</v>
      </c>
      <c r="K11" s="65">
        <f>SUBTOTAL(109,tblRevenue11[m8])</f>
        <v>75</v>
      </c>
      <c r="L11" s="65">
        <f>SUBTOTAL(109,tblRevenue11[m9])</f>
        <v>1384</v>
      </c>
      <c r="M11" s="65">
        <f>SUBTOTAL(109,tblRevenue11[m10])</f>
        <v>1627</v>
      </c>
      <c r="N11" s="65">
        <f>SUBTOTAL(109,tblRevenue11[m11])</f>
        <v>2030</v>
      </c>
      <c r="O11" s="65">
        <f>SUBTOTAL(109,tblRevenue11[m12])</f>
        <v>0</v>
      </c>
      <c r="P11" s="66">
        <f>SUBTOTAL(109,tblRevenue11[Yearly])</f>
        <v>18138.5</v>
      </c>
      <c r="Q11" s="45">
        <f>SUBTOTAL(109,tblRevenue11[Ind %])</f>
        <v>0.6</v>
      </c>
      <c r="R11" s="45">
        <f>SUBTOTAL(109,tblRevenue11[% m1])</f>
        <v>1</v>
      </c>
      <c r="S11" s="45">
        <f>SUBTOTAL(109,tblRevenue11[% m2])</f>
        <v>1</v>
      </c>
      <c r="T11" s="45">
        <f>SUBTOTAL(109,tblRevenue11[% m3])</f>
        <v>1</v>
      </c>
      <c r="U11" s="45">
        <f>SUBTOTAL(109,tblRevenue11[% m4])</f>
        <v>1</v>
      </c>
      <c r="V11" s="45">
        <f>SUBTOTAL(109,tblRevenue11[% m5])</f>
        <v>1</v>
      </c>
      <c r="W11" s="45">
        <f>SUBTOTAL(109,tblRevenue11[% m6])</f>
        <v>1</v>
      </c>
      <c r="X11" s="45">
        <f>SUBTOTAL(109,tblRevenue11[% m7])</f>
        <v>1</v>
      </c>
      <c r="Y11" s="45">
        <f>SUBTOTAL(109,tblRevenue11[% m8])</f>
        <v>1</v>
      </c>
      <c r="Z11" s="45">
        <f>SUBTOTAL(109,tblRevenue11[% m9])</f>
        <v>0.99999999999999989</v>
      </c>
      <c r="AA11" s="45">
        <f>SUBTOTAL(109,tblRevenue11[% m10])</f>
        <v>0.99999999999999989</v>
      </c>
      <c r="AB11" s="45">
        <f>SUBTOTAL(109,tblRevenue11[% m11])</f>
        <v>1</v>
      </c>
      <c r="AC11" s="45">
        <f>SUBTOTAL(109,tblRevenue11[% m12])</f>
        <v>0</v>
      </c>
      <c r="AD11" s="53">
        <f>SUBTOTAL(109,tblRevenue11[% y])</f>
        <v>1</v>
      </c>
    </row>
    <row r="12" spans="1:30" ht="18" customHeight="1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1:30" ht="18" customHeight="1" x14ac:dyDescent="0.35">
      <c r="B13" s="31" t="s">
        <v>37</v>
      </c>
      <c r="C13" s="32" t="s">
        <v>35</v>
      </c>
      <c r="D13" s="10" t="s">
        <v>0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9</v>
      </c>
      <c r="N13" s="10" t="s">
        <v>10</v>
      </c>
      <c r="O13" s="10" t="s">
        <v>11</v>
      </c>
      <c r="P13" s="10" t="s">
        <v>26</v>
      </c>
      <c r="Q13" s="11" t="s">
        <v>24</v>
      </c>
      <c r="R13" s="11" t="s">
        <v>12</v>
      </c>
      <c r="S13" s="11" t="s">
        <v>13</v>
      </c>
      <c r="T13" s="11" t="s">
        <v>14</v>
      </c>
      <c r="U13" s="11" t="s">
        <v>15</v>
      </c>
      <c r="V13" s="11" t="s">
        <v>16</v>
      </c>
      <c r="W13" s="11" t="s">
        <v>17</v>
      </c>
      <c r="X13" s="11" t="s">
        <v>18</v>
      </c>
      <c r="Y13" s="11" t="s">
        <v>19</v>
      </c>
      <c r="Z13" s="11" t="s">
        <v>20</v>
      </c>
      <c r="AA13" s="11" t="s">
        <v>21</v>
      </c>
      <c r="AB13" s="11" t="s">
        <v>22</v>
      </c>
      <c r="AC13" s="11" t="s">
        <v>23</v>
      </c>
      <c r="AD13" s="11" t="s">
        <v>25</v>
      </c>
    </row>
    <row r="14" spans="1:30" ht="18" customHeight="1" x14ac:dyDescent="0.25">
      <c r="B14" s="71" t="s">
        <v>50</v>
      </c>
      <c r="C14" s="22"/>
      <c r="D14" s="61">
        <v>43.51</v>
      </c>
      <c r="E14" s="61">
        <v>44.21</v>
      </c>
      <c r="F14" s="61">
        <v>43.28</v>
      </c>
      <c r="G14" s="61">
        <v>29</v>
      </c>
      <c r="H14" s="61">
        <v>44.91</v>
      </c>
      <c r="I14" s="61">
        <v>43.98</v>
      </c>
      <c r="J14" s="61">
        <v>43.74</v>
      </c>
      <c r="K14" s="61">
        <v>20.7</v>
      </c>
      <c r="L14" s="61">
        <v>25.62</v>
      </c>
      <c r="M14" s="61">
        <v>23.98</v>
      </c>
      <c r="N14" s="61">
        <v>23.98</v>
      </c>
      <c r="O14" s="61"/>
      <c r="P14" s="62">
        <f>SUM(tblCostofSales12[[#This Row],[m1]:[m12]])</f>
        <v>386.91</v>
      </c>
      <c r="Q14" s="9">
        <v>0.12</v>
      </c>
      <c r="R14" s="54">
        <f>IFERROR(tblCostofSales12[[#This Row],[m1]]/tblCostofSales12[[#Totals],[m1]],"-")</f>
        <v>0.40451840833023428</v>
      </c>
      <c r="S14" s="55">
        <f>IFERROR(tblCostofSales12[[#This Row],[m2]]/tblCostofSales12[[#Totals],[m2]],"-")</f>
        <v>0.57798405020264076</v>
      </c>
      <c r="T14" s="55">
        <f>IFERROR(tblCostofSales12[[#This Row],[m3]]/tblCostofSales12[[#Totals],[m3]],"-")</f>
        <v>0.53511374876360041</v>
      </c>
      <c r="U14" s="55">
        <f>IFERROR(tblCostofSales12[[#This Row],[m4]]/tblCostofSales12[[#Totals],[m4]],"-")</f>
        <v>0.47540983606557374</v>
      </c>
      <c r="V14" s="55">
        <f>IFERROR(tblCostofSales12[[#This Row],[m5]]/tblCostofSales12[[#Totals],[m5]],"-")</f>
        <v>0.66112174297070514</v>
      </c>
      <c r="W14" s="55">
        <f>IFERROR(tblCostofSales12[[#This Row],[m6]]/tblCostofSales12[[#Totals],[m6]],"-")</f>
        <v>0.76473656755346897</v>
      </c>
      <c r="X14" s="55">
        <f>IFERROR(tblCostofSales12[[#This Row],[m7]]/tblCostofSales12[[#Totals],[m7]],"-")</f>
        <v>0.79934210526315796</v>
      </c>
      <c r="Y14" s="55">
        <f>IFERROR(tblCostofSales12[[#This Row],[m8]]/tblCostofSales12[[#Totals],[m8]],"-")</f>
        <v>1</v>
      </c>
      <c r="Z14" s="55">
        <f>IFERROR(tblCostofSales12[[#This Row],[m9]]/tblCostofSales12[[#Totals],[m9]],"-")</f>
        <v>0.50552486187845302</v>
      </c>
      <c r="AA14" s="55">
        <f>IFERROR(tblCostofSales12[[#This Row],[m10]]/tblCostofSales12[[#Totals],[m10]],"-")</f>
        <v>0.38960194963444356</v>
      </c>
      <c r="AB14" s="55">
        <f>IFERROR(tblCostofSales12[[#This Row],[m11]]/tblCostofSales12[[#Totals],[m11]],"-")</f>
        <v>0.3173636844891477</v>
      </c>
      <c r="AC14" s="55" t="str">
        <f>IFERROR(tblCostofSales12[[#This Row],[m12]]/tblCostofSales12[[#Totals],[m12]],"-")</f>
        <v>-</v>
      </c>
      <c r="AD14" s="56">
        <f>IFERROR(tblCostofSales12[[#This Row],[Yearly]]/tblCostofSales12[[#Totals],[Yearly]],"-")</f>
        <v>0.54145092222004532</v>
      </c>
    </row>
    <row r="15" spans="1:30" ht="18" customHeight="1" x14ac:dyDescent="0.25">
      <c r="B15" s="71" t="s">
        <v>51</v>
      </c>
      <c r="C15" s="22"/>
      <c r="D15" s="61">
        <v>64.05</v>
      </c>
      <c r="E15" s="61">
        <v>32.28</v>
      </c>
      <c r="F15" s="61">
        <v>37.6</v>
      </c>
      <c r="G15" s="61">
        <v>32</v>
      </c>
      <c r="H15" s="61">
        <v>23.02</v>
      </c>
      <c r="I15" s="61">
        <v>13.53</v>
      </c>
      <c r="J15" s="61">
        <v>10.98</v>
      </c>
      <c r="K15" s="61">
        <v>0</v>
      </c>
      <c r="L15" s="61">
        <v>25.06</v>
      </c>
      <c r="M15" s="61">
        <v>37.57</v>
      </c>
      <c r="N15" s="61">
        <v>51.58</v>
      </c>
      <c r="O15" s="61"/>
      <c r="P15" s="62">
        <f>SUM(tblCostofSales12[[#This Row],[m1]:[m12]])</f>
        <v>327.67</v>
      </c>
      <c r="Q15" s="9">
        <v>0.18</v>
      </c>
      <c r="R15" s="54">
        <f>IFERROR(tblCostofSales12[[#This Row],[m1]]/tblCostofSales12[[#Totals],[m1]],"-")</f>
        <v>0.59548159166976566</v>
      </c>
      <c r="S15" s="55">
        <f>IFERROR(tblCostofSales12[[#This Row],[m2]]/tblCostofSales12[[#Totals],[m2]],"-")</f>
        <v>0.42201594979735907</v>
      </c>
      <c r="T15" s="55">
        <f>IFERROR(tblCostofSales12[[#This Row],[m3]]/tblCostofSales12[[#Totals],[m3]],"-")</f>
        <v>0.46488625123639965</v>
      </c>
      <c r="U15" s="55">
        <f>IFERROR(tblCostofSales12[[#This Row],[m4]]/tblCostofSales12[[#Totals],[m4]],"-")</f>
        <v>0.52459016393442626</v>
      </c>
      <c r="V15" s="55">
        <f>IFERROR(tblCostofSales12[[#This Row],[m5]]/tblCostofSales12[[#Totals],[m5]],"-")</f>
        <v>0.33887825702929492</v>
      </c>
      <c r="W15" s="55">
        <f>IFERROR(tblCostofSales12[[#This Row],[m6]]/tblCostofSales12[[#Totals],[m6]],"-")</f>
        <v>0.23526343244653103</v>
      </c>
      <c r="X15" s="55">
        <f>IFERROR(tblCostofSales12[[#This Row],[m7]]/tblCostofSales12[[#Totals],[m7]],"-")</f>
        <v>0.20065789473684212</v>
      </c>
      <c r="Y15" s="55">
        <f>IFERROR(tblCostofSales12[[#This Row],[m8]]/tblCostofSales12[[#Totals],[m8]],"-")</f>
        <v>0</v>
      </c>
      <c r="Z15" s="55">
        <f>IFERROR(tblCostofSales12[[#This Row],[m9]]/tblCostofSales12[[#Totals],[m9]],"-")</f>
        <v>0.49447513812154692</v>
      </c>
      <c r="AA15" s="55">
        <f>IFERROR(tblCostofSales12[[#This Row],[m10]]/tblCostofSales12[[#Totals],[m10]],"-")</f>
        <v>0.6103980503655565</v>
      </c>
      <c r="AB15" s="55">
        <f>IFERROR(tblCostofSales12[[#This Row],[m11]]/tblCostofSales12[[#Totals],[m11]],"-")</f>
        <v>0.68263631551085224</v>
      </c>
      <c r="AC15" s="55" t="str">
        <f>IFERROR(tblCostofSales12[[#This Row],[m12]]/tblCostofSales12[[#Totals],[m12]],"-")</f>
        <v>-</v>
      </c>
      <c r="AD15" s="56">
        <f>IFERROR(tblCostofSales12[[#This Row],[Yearly]]/tblCostofSales12[[#Totals],[Yearly]],"-")</f>
        <v>0.45854907777995463</v>
      </c>
    </row>
    <row r="16" spans="1:30" ht="18" customHeight="1" x14ac:dyDescent="0.25">
      <c r="B16" s="46" t="s">
        <v>38</v>
      </c>
      <c r="C16" s="47"/>
      <c r="D16" s="64">
        <f>SUBTOTAL(109,tblCostofSales12[m1])</f>
        <v>107.56</v>
      </c>
      <c r="E16" s="64">
        <f>SUBTOTAL(109,tblCostofSales12[m2])</f>
        <v>76.490000000000009</v>
      </c>
      <c r="F16" s="64">
        <f>SUBTOTAL(109,tblCostofSales12[m3])</f>
        <v>80.88</v>
      </c>
      <c r="G16" s="64">
        <f>SUBTOTAL(109,tblCostofSales12[m4])</f>
        <v>61</v>
      </c>
      <c r="H16" s="64">
        <f>SUBTOTAL(109,tblCostofSales12[m5])</f>
        <v>67.929999999999993</v>
      </c>
      <c r="I16" s="64">
        <f>SUBTOTAL(109,tblCostofSales12[m6])</f>
        <v>57.51</v>
      </c>
      <c r="J16" s="64">
        <f>SUBTOTAL(109,tblCostofSales12[m7])</f>
        <v>54.72</v>
      </c>
      <c r="K16" s="64">
        <f>SUBTOTAL(109,tblCostofSales12[m8])</f>
        <v>20.7</v>
      </c>
      <c r="L16" s="64">
        <f>SUBTOTAL(109,tblCostofSales12[m9])</f>
        <v>50.68</v>
      </c>
      <c r="M16" s="64">
        <f>SUBTOTAL(109,tblCostofSales12[m10])</f>
        <v>61.55</v>
      </c>
      <c r="N16" s="64">
        <f>SUBTOTAL(109,tblCostofSales12[m11])</f>
        <v>75.56</v>
      </c>
      <c r="O16" s="64">
        <f>SUBTOTAL(109,tblCostofSales12[m12])</f>
        <v>0</v>
      </c>
      <c r="P16" s="63">
        <f>SUBTOTAL(109,tblCostofSales12[Yearly])</f>
        <v>714.58</v>
      </c>
      <c r="Q16" s="48">
        <f>SUBTOTAL(109,tblCostofSales12[Ind %])</f>
        <v>0.3</v>
      </c>
      <c r="R16" s="57">
        <f>SUBTOTAL(109,tblCostofSales12[% m1])</f>
        <v>1</v>
      </c>
      <c r="S16" s="57">
        <f>SUBTOTAL(109,tblCostofSales12[% m2])</f>
        <v>0.99999999999999978</v>
      </c>
      <c r="T16" s="57">
        <f>SUBTOTAL(109,tblCostofSales12[% m3])</f>
        <v>1</v>
      </c>
      <c r="U16" s="57">
        <f>SUBTOTAL(109,tblCostofSales12[% m4])</f>
        <v>1</v>
      </c>
      <c r="V16" s="57">
        <f>SUBTOTAL(109,tblCostofSales12[% m5])</f>
        <v>1</v>
      </c>
      <c r="W16" s="57">
        <f>SUBTOTAL(109,tblCostofSales12[% m6])</f>
        <v>1</v>
      </c>
      <c r="X16" s="57">
        <f>SUBTOTAL(109,tblCostofSales12[% m7])</f>
        <v>1</v>
      </c>
      <c r="Y16" s="57">
        <f>SUBTOTAL(109,tblCostofSales12[% m8])</f>
        <v>1</v>
      </c>
      <c r="Z16" s="57">
        <f>SUBTOTAL(109,tblCostofSales12[% m9])</f>
        <v>1</v>
      </c>
      <c r="AA16" s="57">
        <f>SUBTOTAL(109,tblCostofSales12[% m10])</f>
        <v>1</v>
      </c>
      <c r="AB16" s="57">
        <f>SUBTOTAL(109,tblCostofSales12[% m11])</f>
        <v>1</v>
      </c>
      <c r="AC16" s="57">
        <f>SUBTOTAL(109,tblCostofSales12[% m12])</f>
        <v>0</v>
      </c>
      <c r="AD16" s="57">
        <f>SUBTOTAL(109,tblCostofSales12[% y])</f>
        <v>1</v>
      </c>
    </row>
    <row r="17" spans="1:30" ht="18" customHeight="1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18" customHeight="1" x14ac:dyDescent="0.25">
      <c r="B18" s="16" t="s">
        <v>27</v>
      </c>
      <c r="C18" s="12"/>
      <c r="D18" s="13">
        <f>tblRevenue11[[#Totals],[m1]]-tblCostofSales12[[#Totals],[m1]]</f>
        <v>2967.44</v>
      </c>
      <c r="E18" s="13">
        <f>tblRevenue11[[#Totals],[m2]]-tblCostofSales12[[#Totals],[m2]]</f>
        <v>1833.51</v>
      </c>
      <c r="F18" s="13">
        <f>tblRevenue11[[#Totals],[m3]]-tblCostofSales12[[#Totals],[m3]]</f>
        <v>2230.12</v>
      </c>
      <c r="G18" s="13">
        <f>tblRevenue11[[#Totals],[m4]]-tblCostofSales12[[#Totals],[m4]]</f>
        <v>1707</v>
      </c>
      <c r="H18" s="13">
        <f>tblRevenue11[[#Totals],[m5]]-tblCostofSales12[[#Totals],[m5]]</f>
        <v>1408.07</v>
      </c>
      <c r="I18" s="13">
        <f>tblRevenue11[[#Totals],[m6]]-tblCostofSales12[[#Totals],[m6]]</f>
        <v>1278.49</v>
      </c>
      <c r="J18" s="13">
        <f>tblRevenue11[[#Totals],[m7]]-tblCostofSales12[[#Totals],[m7]]</f>
        <v>1091.78</v>
      </c>
      <c r="K18" s="13">
        <f>tblRevenue11[[#Totals],[m8]]-tblCostofSales12[[#Totals],[m8]]</f>
        <v>54.3</v>
      </c>
      <c r="L18" s="13">
        <f>tblRevenue11[[#Totals],[m9]]-tblCostofSales12[[#Totals],[m9]]</f>
        <v>1333.32</v>
      </c>
      <c r="M18" s="13">
        <f>tblRevenue11[[#Totals],[m10]]-tblCostofSales12[[#Totals],[m10]]</f>
        <v>1565.45</v>
      </c>
      <c r="N18" s="13">
        <f>tblRevenue11[[#Totals],[m11]]-tblCostofSales12[[#Totals],[m11]]</f>
        <v>1954.44</v>
      </c>
      <c r="O18" s="13">
        <f>tblRevenue11[[#Totals],[m12]]-tblCostofSales12[[#Totals],[m12]]</f>
        <v>0</v>
      </c>
      <c r="P18" s="13">
        <f>tblRevenue11[[#Totals],[Yearly]]-tblCostofSales12[[#Totals],[Yearly]]</f>
        <v>17423.919999999998</v>
      </c>
      <c r="Q18" s="14"/>
      <c r="R18" s="15">
        <f>D18/$P$18</f>
        <v>0.17030840361985136</v>
      </c>
      <c r="S18" s="15">
        <f t="shared" ref="S18:AD18" si="1">E18/$P$18</f>
        <v>0.10522947763763839</v>
      </c>
      <c r="T18" s="15">
        <f t="shared" si="1"/>
        <v>0.12799186405814536</v>
      </c>
      <c r="U18" s="15">
        <f t="shared" si="1"/>
        <v>9.7968769369923658E-2</v>
      </c>
      <c r="V18" s="15">
        <f t="shared" si="1"/>
        <v>8.0812469295084011E-2</v>
      </c>
      <c r="W18" s="15">
        <f t="shared" si="1"/>
        <v>7.3375566462655945E-2</v>
      </c>
      <c r="X18" s="15">
        <f t="shared" si="1"/>
        <v>6.2659837740301844E-2</v>
      </c>
      <c r="Y18" s="15">
        <f t="shared" si="1"/>
        <v>3.1164054931381688E-3</v>
      </c>
      <c r="Z18" s="15">
        <f t="shared" si="1"/>
        <v>7.6522389909962865E-2</v>
      </c>
      <c r="AA18" s="15">
        <f t="shared" si="1"/>
        <v>8.9844879912212641E-2</v>
      </c>
      <c r="AB18" s="15">
        <f t="shared" si="1"/>
        <v>0.11216993650108588</v>
      </c>
      <c r="AC18" s="15">
        <f t="shared" si="1"/>
        <v>0</v>
      </c>
      <c r="AD18" s="15">
        <f t="shared" si="1"/>
        <v>1</v>
      </c>
    </row>
    <row r="20" spans="1:30" ht="18" customHeight="1" x14ac:dyDescent="0.35">
      <c r="B20" s="31" t="s">
        <v>39</v>
      </c>
      <c r="C20" s="32" t="s">
        <v>35</v>
      </c>
      <c r="D20" s="18" t="s">
        <v>0</v>
      </c>
      <c r="E20" s="18" t="s">
        <v>1</v>
      </c>
      <c r="F20" s="18" t="s">
        <v>2</v>
      </c>
      <c r="G20" s="18" t="s">
        <v>3</v>
      </c>
      <c r="H20" s="18" t="s">
        <v>4</v>
      </c>
      <c r="I20" s="18" t="s">
        <v>5</v>
      </c>
      <c r="J20" s="18" t="s">
        <v>6</v>
      </c>
      <c r="K20" s="18" t="s">
        <v>7</v>
      </c>
      <c r="L20" s="18" t="s">
        <v>8</v>
      </c>
      <c r="M20" s="18" t="s">
        <v>9</v>
      </c>
      <c r="N20" s="18" t="s">
        <v>10</v>
      </c>
      <c r="O20" s="18" t="s">
        <v>11</v>
      </c>
      <c r="P20" s="18" t="s">
        <v>26</v>
      </c>
      <c r="Q20" s="18" t="s">
        <v>24</v>
      </c>
      <c r="R20" s="18" t="s">
        <v>12</v>
      </c>
      <c r="S20" s="18" t="s">
        <v>13</v>
      </c>
      <c r="T20" s="18" t="s">
        <v>14</v>
      </c>
      <c r="U20" s="18" t="s">
        <v>15</v>
      </c>
      <c r="V20" s="18" t="s">
        <v>16</v>
      </c>
      <c r="W20" s="18" t="s">
        <v>17</v>
      </c>
      <c r="X20" s="18" t="s">
        <v>18</v>
      </c>
      <c r="Y20" s="18" t="s">
        <v>19</v>
      </c>
      <c r="Z20" s="18" t="s">
        <v>20</v>
      </c>
      <c r="AA20" s="18" t="s">
        <v>21</v>
      </c>
      <c r="AB20" s="18" t="s">
        <v>22</v>
      </c>
      <c r="AC20" s="18" t="s">
        <v>23</v>
      </c>
      <c r="AD20" s="18" t="s">
        <v>25</v>
      </c>
    </row>
    <row r="21" spans="1:30" ht="18" customHeight="1" x14ac:dyDescent="0.25">
      <c r="B21" s="72" t="s">
        <v>52</v>
      </c>
      <c r="C21" s="23" t="s">
        <v>30</v>
      </c>
      <c r="D21" s="8">
        <v>5</v>
      </c>
      <c r="E21" s="8">
        <v>5</v>
      </c>
      <c r="F21" s="8">
        <v>5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5</v>
      </c>
      <c r="M21" s="8">
        <v>5</v>
      </c>
      <c r="N21" s="8">
        <v>5</v>
      </c>
      <c r="O21" s="8">
        <v>5</v>
      </c>
      <c r="P21" s="24">
        <f>SUM(tblExpenses13[[#This Row],[m1]:[m12]])</f>
        <v>60</v>
      </c>
      <c r="Q21" s="9">
        <v>0.12</v>
      </c>
      <c r="R21" s="39">
        <f>tblExpenses13[[#This Row],[m1]]/tblExpenses13[[#Totals],[m1]]</f>
        <v>2.8347885247760517E-2</v>
      </c>
      <c r="S21" s="25">
        <f>tblExpenses13[[#This Row],[m2]]/tblExpenses13[[#Totals],[m2]]</f>
        <v>6.5453593402277785E-2</v>
      </c>
      <c r="T21" s="25">
        <f>tblExpenses13[[#This Row],[m3]]/tblExpenses13[[#Totals],[m3]]</f>
        <v>6.5462162869861229E-2</v>
      </c>
      <c r="U21" s="25">
        <f>tblExpenses13[[#This Row],[m4]]/tblExpenses13[[#Totals],[m4]]</f>
        <v>8.0153895479320295E-2</v>
      </c>
      <c r="V21" s="25">
        <f>tblExpenses13[[#This Row],[m5]]/tblExpenses13[[#Totals],[m5]]</f>
        <v>0.10189525168127166</v>
      </c>
      <c r="W21" s="25">
        <f>tblExpenses13[[#This Row],[m6]]/tblExpenses13[[#Totals],[m6]]</f>
        <v>0.10125556905629811</v>
      </c>
      <c r="X21" s="25">
        <f>tblExpenses13[[#This Row],[m7]]/tblExpenses13[[#Totals],[m7]]</f>
        <v>0.10123506782749545</v>
      </c>
      <c r="Y21" s="25">
        <f>tblExpenses13[[#This Row],[m8]]/tblExpenses13[[#Totals],[m8]]</f>
        <v>0.17241379310344829</v>
      </c>
      <c r="Z21" s="25">
        <f>tblExpenses13[[#This Row],[m9]]/tblExpenses13[[#Totals],[m9]]</f>
        <v>0.11101243339253997</v>
      </c>
      <c r="AA21" s="25">
        <f>tblExpenses13[[#This Row],[m10]]/tblExpenses13[[#Totals],[m10]]</f>
        <v>0.11101243339253997</v>
      </c>
      <c r="AB21" s="25">
        <f>tblExpenses13[[#This Row],[m11]]/tblExpenses13[[#Totals],[m11]]</f>
        <v>1.6949152542372881E-2</v>
      </c>
      <c r="AC21" s="25">
        <f>tblExpenses13[[#This Row],[m12]]/tblExpenses13[[#Totals],[m12]]</f>
        <v>0.15625</v>
      </c>
      <c r="AD21" s="26">
        <f>tblExpenses13[[#This Row],[Yearly]]/tblExpenses13[[#Totals],[Yearly]]</f>
        <v>6.0885889695063165E-2</v>
      </c>
    </row>
    <row r="22" spans="1:30" ht="18" customHeight="1" x14ac:dyDescent="0.25">
      <c r="B22" s="82" t="s">
        <v>55</v>
      </c>
      <c r="C22" s="78"/>
      <c r="D22" s="83">
        <v>13</v>
      </c>
      <c r="E22" s="83">
        <v>13</v>
      </c>
      <c r="F22" s="83">
        <v>13</v>
      </c>
      <c r="G22" s="83">
        <v>13</v>
      </c>
      <c r="H22" s="83">
        <v>13</v>
      </c>
      <c r="I22" s="83">
        <v>13</v>
      </c>
      <c r="J22" s="83">
        <v>13</v>
      </c>
      <c r="K22" s="83">
        <v>13</v>
      </c>
      <c r="L22" s="83">
        <v>13</v>
      </c>
      <c r="M22" s="83">
        <v>13</v>
      </c>
      <c r="N22" s="83">
        <v>13</v>
      </c>
      <c r="O22" s="83">
        <v>13</v>
      </c>
      <c r="P22" s="84">
        <f>SUM(tblExpenses13[[#This Row],[m1]:[m12]])</f>
        <v>156</v>
      </c>
      <c r="Q22" s="85"/>
      <c r="R22" s="86">
        <f>tblExpenses13[[#This Row],[m1]]/tblExpenses13[[#Totals],[m1]]</f>
        <v>7.3704501644177342E-2</v>
      </c>
      <c r="S22" s="87">
        <f>tblExpenses13[[#This Row],[m2]]/tblExpenses13[[#Totals],[m2]]</f>
        <v>0.17017934284592223</v>
      </c>
      <c r="T22" s="87">
        <f>tblExpenses13[[#This Row],[m3]]/tblExpenses13[[#Totals],[m3]]</f>
        <v>0.1702016234616392</v>
      </c>
      <c r="U22" s="87">
        <f>tblExpenses13[[#This Row],[m4]]/tblExpenses13[[#Totals],[m4]]</f>
        <v>0.20840012824623275</v>
      </c>
      <c r="V22" s="87">
        <f>tblExpenses13[[#This Row],[m5]]/tblExpenses13[[#Totals],[m5]]</f>
        <v>0.26492765437130628</v>
      </c>
      <c r="W22" s="87">
        <f>tblExpenses13[[#This Row],[m6]]/tblExpenses13[[#Totals],[m6]]</f>
        <v>0.26326447954637505</v>
      </c>
      <c r="X22" s="87">
        <f>tblExpenses13[[#This Row],[m7]]/tblExpenses13[[#Totals],[m7]]</f>
        <v>0.26321117635148816</v>
      </c>
      <c r="Y22" s="87">
        <f>tblExpenses13[[#This Row],[m8]]/tblExpenses13[[#Totals],[m8]]</f>
        <v>0.44827586206896552</v>
      </c>
      <c r="Z22" s="87">
        <f>tblExpenses13[[#This Row],[m9]]/tblExpenses13[[#Totals],[m9]]</f>
        <v>0.28863232682060391</v>
      </c>
      <c r="AA22" s="87">
        <f>tblExpenses13[[#This Row],[m10]]/tblExpenses13[[#Totals],[m10]]</f>
        <v>0.28863232682060391</v>
      </c>
      <c r="AB22" s="87">
        <f>tblExpenses13[[#This Row],[m11]]/tblExpenses13[[#Totals],[m11]]</f>
        <v>4.4067796610169491E-2</v>
      </c>
      <c r="AC22" s="87">
        <f>tblExpenses13[[#This Row],[m12]]/tblExpenses13[[#Totals],[m12]]</f>
        <v>0.40625</v>
      </c>
      <c r="AD22" s="88">
        <f>tblExpenses13[[#This Row],[Yearly]]/tblExpenses13[[#Totals],[Yearly]]</f>
        <v>0.15830331320716423</v>
      </c>
    </row>
    <row r="23" spans="1:30" ht="18" customHeight="1" x14ac:dyDescent="0.25">
      <c r="B23" s="72" t="s">
        <v>53</v>
      </c>
      <c r="C23" s="23" t="s">
        <v>30</v>
      </c>
      <c r="D23" s="67">
        <v>11</v>
      </c>
      <c r="E23" s="67">
        <v>11</v>
      </c>
      <c r="F23" s="67">
        <v>11</v>
      </c>
      <c r="G23" s="67">
        <v>11</v>
      </c>
      <c r="H23" s="67">
        <v>11</v>
      </c>
      <c r="I23" s="67">
        <v>11</v>
      </c>
      <c r="J23" s="67">
        <v>11</v>
      </c>
      <c r="K23" s="67">
        <v>11</v>
      </c>
      <c r="L23" s="67">
        <v>11</v>
      </c>
      <c r="M23" s="67">
        <v>11</v>
      </c>
      <c r="N23" s="67">
        <v>11</v>
      </c>
      <c r="O23" s="67">
        <v>11</v>
      </c>
      <c r="P23" s="68">
        <f>SUM(tblExpenses13[[#This Row],[m1]:[m12]])</f>
        <v>132</v>
      </c>
      <c r="Q23" s="9">
        <v>0.09</v>
      </c>
      <c r="R23" s="39">
        <f>tblExpenses13[[#This Row],[m1]]/tblExpenses13[[#Totals],[m1]]</f>
        <v>6.2365347545073141E-2</v>
      </c>
      <c r="S23" s="25">
        <f>tblExpenses13[[#This Row],[m2]]/tblExpenses13[[#Totals],[m2]]</f>
        <v>0.14399790548501112</v>
      </c>
      <c r="T23" s="25">
        <f>tblExpenses13[[#This Row],[m3]]/tblExpenses13[[#Totals],[m3]]</f>
        <v>0.1440167583136947</v>
      </c>
      <c r="U23" s="25">
        <f>tblExpenses13[[#This Row],[m4]]/tblExpenses13[[#Totals],[m4]]</f>
        <v>0.17633857005450465</v>
      </c>
      <c r="V23" s="25">
        <f>tblExpenses13[[#This Row],[m5]]/tblExpenses13[[#Totals],[m5]]</f>
        <v>0.22416955369879762</v>
      </c>
      <c r="W23" s="25">
        <f>tblExpenses13[[#This Row],[m6]]/tblExpenses13[[#Totals],[m6]]</f>
        <v>0.22276225192385582</v>
      </c>
      <c r="X23" s="25">
        <f>tblExpenses13[[#This Row],[m7]]/tblExpenses13[[#Totals],[m7]]</f>
        <v>0.22271714922048996</v>
      </c>
      <c r="Y23" s="25">
        <f>tblExpenses13[[#This Row],[m8]]/tblExpenses13[[#Totals],[m8]]</f>
        <v>0.37931034482758619</v>
      </c>
      <c r="Z23" s="25">
        <f>tblExpenses13[[#This Row],[m9]]/tblExpenses13[[#Totals],[m9]]</f>
        <v>0.24422735346358793</v>
      </c>
      <c r="AA23" s="25">
        <f>tblExpenses13[[#This Row],[m10]]/tblExpenses13[[#Totals],[m10]]</f>
        <v>0.24422735346358793</v>
      </c>
      <c r="AB23" s="25">
        <f>tblExpenses13[[#This Row],[m11]]/tblExpenses13[[#Totals],[m11]]</f>
        <v>3.7288135593220341E-2</v>
      </c>
      <c r="AC23" s="25">
        <f>tblExpenses13[[#This Row],[m12]]/tblExpenses13[[#Totals],[m12]]</f>
        <v>0.34375</v>
      </c>
      <c r="AD23" s="26">
        <f>tblExpenses13[[#This Row],[Yearly]]/tblExpenses13[[#Totals],[Yearly]]</f>
        <v>0.13394895732913897</v>
      </c>
    </row>
    <row r="24" spans="1:30" ht="18" customHeight="1" x14ac:dyDescent="0.25">
      <c r="A24" s="19"/>
      <c r="B24" s="17" t="s">
        <v>28</v>
      </c>
      <c r="C24" s="23" t="s">
        <v>30</v>
      </c>
      <c r="D24" s="67">
        <v>147.38</v>
      </c>
      <c r="E24" s="67">
        <v>47.39</v>
      </c>
      <c r="F24" s="67">
        <v>47.38</v>
      </c>
      <c r="G24" s="67">
        <v>33.380000000000003</v>
      </c>
      <c r="H24" s="67">
        <v>20.07</v>
      </c>
      <c r="I24" s="67">
        <v>20.38</v>
      </c>
      <c r="J24" s="67">
        <v>20.39</v>
      </c>
      <c r="K24" s="67">
        <v>0</v>
      </c>
      <c r="L24" s="67">
        <v>16.04</v>
      </c>
      <c r="M24" s="67">
        <v>16.04</v>
      </c>
      <c r="N24" s="67">
        <v>266</v>
      </c>
      <c r="O24" s="67">
        <v>3</v>
      </c>
      <c r="P24" s="68">
        <f>SUM(tblExpenses13[[#This Row],[m1]:[m12]])</f>
        <v>637.45000000000005</v>
      </c>
      <c r="Q24" s="9">
        <v>0.02</v>
      </c>
      <c r="R24" s="39">
        <f>tblExpenses13[[#This Row],[m1]]/tblExpenses13[[#Totals],[m1]]</f>
        <v>0.83558226556298898</v>
      </c>
      <c r="S24" s="40">
        <f>tblExpenses13[[#This Row],[m2]]/tblExpenses13[[#Totals],[m2]]</f>
        <v>0.62036915826678884</v>
      </c>
      <c r="T24" s="40">
        <f>tblExpenses13[[#This Row],[m3]]/tblExpenses13[[#Totals],[m3]]</f>
        <v>0.62031945535480504</v>
      </c>
      <c r="U24" s="40">
        <f>tblExpenses13[[#This Row],[m4]]/tblExpenses13[[#Totals],[m4]]</f>
        <v>0.53510740621994235</v>
      </c>
      <c r="V24" s="40">
        <f>tblExpenses13[[#This Row],[m5]]/tblExpenses13[[#Totals],[m5]]</f>
        <v>0.4090075402486244</v>
      </c>
      <c r="W24" s="40">
        <f>tblExpenses13[[#This Row],[m6]]/tblExpenses13[[#Totals],[m6]]</f>
        <v>0.41271769947347103</v>
      </c>
      <c r="X24" s="40">
        <f>tblExpenses13[[#This Row],[m7]]/tblExpenses13[[#Totals],[m7]]</f>
        <v>0.41283660660052646</v>
      </c>
      <c r="Y24" s="40">
        <f>tblExpenses13[[#This Row],[m8]]/tblExpenses13[[#Totals],[m8]]</f>
        <v>0</v>
      </c>
      <c r="Z24" s="40">
        <f>tblExpenses13[[#This Row],[m9]]/tblExpenses13[[#Totals],[m9]]</f>
        <v>0.35612788632326819</v>
      </c>
      <c r="AA24" s="40">
        <f>tblExpenses13[[#This Row],[m10]]/tblExpenses13[[#Totals],[m10]]</f>
        <v>0.35612788632326819</v>
      </c>
      <c r="AB24" s="40">
        <f>tblExpenses13[[#This Row],[m11]]/tblExpenses13[[#Totals],[m11]]</f>
        <v>0.90169491525423728</v>
      </c>
      <c r="AC24" s="40">
        <f>tblExpenses13[[#This Row],[m12]]/tblExpenses13[[#Totals],[m12]]</f>
        <v>9.375E-2</v>
      </c>
      <c r="AD24" s="41">
        <f>tblExpenses13[[#This Row],[Yearly]]/tblExpenses13[[#Totals],[Yearly]]</f>
        <v>0.64686183976863365</v>
      </c>
    </row>
    <row r="25" spans="1:30" ht="18" customHeight="1" x14ac:dyDescent="0.25">
      <c r="B25" s="72" t="s">
        <v>40</v>
      </c>
      <c r="C25" s="74" t="s">
        <v>30</v>
      </c>
      <c r="D25" s="75">
        <f>SUBTOTAL(109,tblExpenses13[m1])</f>
        <v>176.38</v>
      </c>
      <c r="E25" s="75">
        <f>SUBTOTAL(109,tblExpenses13[m2])</f>
        <v>76.39</v>
      </c>
      <c r="F25" s="75">
        <f>SUBTOTAL(109,tblExpenses13[m3])</f>
        <v>76.38</v>
      </c>
      <c r="G25" s="75">
        <f>SUBTOTAL(109,tblExpenses13[m4])</f>
        <v>62.38</v>
      </c>
      <c r="H25" s="75">
        <f>SUBTOTAL(109,tblExpenses13[m5])</f>
        <v>49.07</v>
      </c>
      <c r="I25" s="75">
        <f>SUBTOTAL(109,tblExpenses13[m6])</f>
        <v>49.379999999999995</v>
      </c>
      <c r="J25" s="75">
        <f>SUBTOTAL(109,tblExpenses13[m7])</f>
        <v>49.39</v>
      </c>
      <c r="K25" s="75">
        <f>SUBTOTAL(109,tblExpenses13[m8])</f>
        <v>29</v>
      </c>
      <c r="L25" s="75">
        <f>SUBTOTAL(109,tblExpenses13[m9])</f>
        <v>45.04</v>
      </c>
      <c r="M25" s="75">
        <f>SUBTOTAL(109,tblExpenses13[m10])</f>
        <v>45.04</v>
      </c>
      <c r="N25" s="75">
        <f>SUBTOTAL(109,tblExpenses13[m11])</f>
        <v>295</v>
      </c>
      <c r="O25" s="75">
        <f>SUBTOTAL(109,tblExpenses13[m12])</f>
        <v>32</v>
      </c>
      <c r="P25" s="75">
        <f>SUBTOTAL(109,tblExpenses13[Yearly])</f>
        <v>985.45</v>
      </c>
      <c r="Q25" s="49">
        <f>SUBTOTAL(109,tblExpenses13[Ind %])</f>
        <v>0.22999999999999998</v>
      </c>
      <c r="R25" s="49">
        <f>SUBTOTAL(109,tblExpenses13[% m1])</f>
        <v>1</v>
      </c>
      <c r="S25" s="49">
        <f>SUBTOTAL(109,tblExpenses13[% m2])</f>
        <v>1</v>
      </c>
      <c r="T25" s="49">
        <f>SUBTOTAL(109,tblExpenses13[% m3])</f>
        <v>1.0000000000000002</v>
      </c>
      <c r="U25" s="49">
        <f>SUBTOTAL(109,tblExpenses13[% m4])</f>
        <v>1</v>
      </c>
      <c r="V25" s="49">
        <f>SUBTOTAL(109,tblExpenses13[% m5])</f>
        <v>1</v>
      </c>
      <c r="W25" s="49">
        <f>SUBTOTAL(109,tblExpenses13[% m6])</f>
        <v>1</v>
      </c>
      <c r="X25" s="49">
        <f>SUBTOTAL(109,tblExpenses13[% m7])</f>
        <v>1</v>
      </c>
      <c r="Y25" s="49">
        <f>SUBTOTAL(109,tblExpenses13[% m8])</f>
        <v>1</v>
      </c>
      <c r="Z25" s="49">
        <f>SUBTOTAL(109,tblExpenses13[% m9])</f>
        <v>1</v>
      </c>
      <c r="AA25" s="49">
        <f>SUBTOTAL(109,tblExpenses13[% m10])</f>
        <v>1</v>
      </c>
      <c r="AB25" s="49">
        <f>SUBTOTAL(109,tblExpenses13[% m11])</f>
        <v>1</v>
      </c>
      <c r="AC25" s="49">
        <f>SUBTOTAL(109,tblExpenses13[% m12])</f>
        <v>1</v>
      </c>
      <c r="AD25" s="49">
        <f>SUBTOTAL(109,tblExpenses13[% y])</f>
        <v>1</v>
      </c>
    </row>
    <row r="26" spans="1:30" ht="18" customHeight="1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ht="18" customHeight="1" x14ac:dyDescent="0.25">
      <c r="B27" s="16" t="s">
        <v>29</v>
      </c>
      <c r="C27" s="12"/>
      <c r="D27" s="69">
        <f>D18-tblExpenses13[[#Totals],[m1]]</f>
        <v>2791.06</v>
      </c>
      <c r="E27" s="69">
        <f>E18-tblExpenses13[[#Totals],[m2]]</f>
        <v>1757.12</v>
      </c>
      <c r="F27" s="69">
        <f>F18-tblExpenses13[[#Totals],[m3]]</f>
        <v>2153.7399999999998</v>
      </c>
      <c r="G27" s="69">
        <f>G18-tblExpenses13[[#Totals],[m4]]</f>
        <v>1644.62</v>
      </c>
      <c r="H27" s="69">
        <f>H18-tblExpenses13[[#Totals],[m5]]</f>
        <v>1359</v>
      </c>
      <c r="I27" s="69">
        <f>I18-tblExpenses13[[#Totals],[m6]]</f>
        <v>1229.1100000000001</v>
      </c>
      <c r="J27" s="69">
        <f>J18-tblExpenses13[[#Totals],[m7]]</f>
        <v>1042.3899999999999</v>
      </c>
      <c r="K27" s="69">
        <f>K18-tblExpenses13[[#Totals],[m8]]</f>
        <v>25.299999999999997</v>
      </c>
      <c r="L27" s="69">
        <f>L18-tblExpenses13[[#Totals],[m9]]</f>
        <v>1288.28</v>
      </c>
      <c r="M27" s="69">
        <f>M18-tblExpenses13[[#Totals],[m10]]</f>
        <v>1520.41</v>
      </c>
      <c r="N27" s="69">
        <f>N18-tblExpenses13[[#Totals],[m11]]</f>
        <v>1659.44</v>
      </c>
      <c r="O27" s="69">
        <f>O18-tblExpenses13[[#Totals],[m12]]</f>
        <v>-32</v>
      </c>
      <c r="P27" s="69">
        <f>SUM(D27:O27)</f>
        <v>16438.47</v>
      </c>
      <c r="Q27" s="14"/>
      <c r="R27" s="15">
        <f>D27/$P$27</f>
        <v>0.16978830754930355</v>
      </c>
      <c r="S27" s="15">
        <f t="shared" ref="S27:AD27" si="2">E27/$P$27</f>
        <v>0.106890726448386</v>
      </c>
      <c r="T27" s="15">
        <f t="shared" si="2"/>
        <v>0.1310182760317718</v>
      </c>
      <c r="U27" s="15">
        <f t="shared" si="2"/>
        <v>0.10004702384102655</v>
      </c>
      <c r="V27" s="15">
        <f t="shared" si="2"/>
        <v>8.2671927496902081E-2</v>
      </c>
      <c r="W27" s="15">
        <f t="shared" si="2"/>
        <v>7.4770340548725042E-2</v>
      </c>
      <c r="X27" s="15">
        <f t="shared" si="2"/>
        <v>6.3411619207870307E-2</v>
      </c>
      <c r="Y27" s="15">
        <f t="shared" si="2"/>
        <v>1.539072675255057E-3</v>
      </c>
      <c r="Z27" s="15">
        <f t="shared" si="2"/>
        <v>7.836982395563577E-2</v>
      </c>
      <c r="AA27" s="15">
        <f t="shared" si="2"/>
        <v>9.249096783338108E-2</v>
      </c>
      <c r="AB27" s="15">
        <f t="shared" si="2"/>
        <v>0.10094856759783605</v>
      </c>
      <c r="AC27" s="15">
        <f t="shared" si="2"/>
        <v>-1.9466531860933528E-3</v>
      </c>
      <c r="AD27" s="15">
        <f t="shared" si="2"/>
        <v>1</v>
      </c>
    </row>
  </sheetData>
  <mergeCells count="4">
    <mergeCell ref="P1:AD1"/>
    <mergeCell ref="B12:AD12"/>
    <mergeCell ref="B17:AD17"/>
    <mergeCell ref="B26:AD26"/>
  </mergeCells>
  <dataValidations count="2"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>
      <formula1>"2010,2011,2012,2013,2014,2015,2016,2017,2018,2019,2020"</formula1>
    </dataValidation>
    <dataValidation type="list" errorStyle="information" allowBlank="1" showInputMessage="1" showErrorMessage="1" errorTitle="Unknown Month" error="Please select a month from the drop down list." sqref="AC2">
      <formula1>"JAN,FEB,MAR,APR,MAY,JUN,JUL,AUG,SEP,OCT,NOV,DEC"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'2016'!D21:O21</xm:f>
              <xm:sqref>C21</xm:sqref>
            </x14:sparkline>
            <x14:sparkline>
              <xm:f>'2016'!D22:O22</xm:f>
              <xm:sqref>C22</xm:sqref>
            </x14:sparkline>
            <x14:sparkline>
              <xm:f>'2016'!D23:O23</xm:f>
              <xm:sqref>C23</xm:sqref>
            </x14:sparkline>
            <x14:sparkline>
              <xm:f>'2016'!D24:O24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'2016'!D14:O14</xm:f>
              <xm:sqref>C14</xm:sqref>
            </x14:sparkline>
            <x14:sparkline>
              <xm:f>'2016'!D15:O15</xm:f>
              <xm:sqref>C15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'2016'!D16:O16</xm:f>
              <xm:sqref>C16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'2016'!D11:O11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'2016'!D25:O25</xm:f>
              <xm:sqref>C25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'2016'!$D$7:$O$7</xm:f>
              <xm:sqref>C7</xm:sqref>
            </x14:sparkline>
            <x14:sparkline>
              <xm:f>'2016'!$D$8:$O$8</xm:f>
              <xm:sqref>C8</xm:sqref>
            </x14:sparkline>
            <x14:sparkline>
              <xm:f>'2016'!$D$9:$O$9</xm:f>
              <xm:sqref>C9</xm:sqref>
            </x14:sparkline>
            <x14:sparkline>
              <xm:f>'2016'!$D$10:$O$10</xm:f>
              <xm:sqref>C10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7B954B-B8D1-49CD-8C4C-93B9100A5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2015</vt:lpstr>
      <vt:lpstr>2016</vt:lpstr>
      <vt:lpstr>FYMonthStart</vt:lpstr>
      <vt:lpstr>FYStartYear</vt:lpstr>
      <vt:lpstr>'2015'!Print_Titles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creator>Chaun</dc:creator>
  <cp:keywords/>
  <cp:lastModifiedBy>Chaun</cp:lastModifiedBy>
  <dcterms:created xsi:type="dcterms:W3CDTF">2016-12-18T19:27:00Z</dcterms:created>
  <dcterms:modified xsi:type="dcterms:W3CDTF">2016-12-21T03:12:01Z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TC028023619991</vt:lpwstr>
  </property>
</Properties>
</file>